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ормативы финансирования для МЗ\Нормативы Образование\2026 год\Приказ №157 от 15.06.2026г (уведомление от 11.06.2026г)\"/>
    </mc:Choice>
  </mc:AlternateContent>
  <bookViews>
    <workbookView xWindow="0" yWindow="0" windowWidth="23256" windowHeight="12300"/>
  </bookViews>
  <sheets>
    <sheet name="Прил.№2 с 12.01.26г. " sheetId="4" r:id="rId1"/>
  </sheets>
  <calcPr calcId="162913"/>
</workbook>
</file>

<file path=xl/calcChain.xml><?xml version="1.0" encoding="utf-8"?>
<calcChain xmlns="http://schemas.openxmlformats.org/spreadsheetml/2006/main">
  <c r="I154" i="4" l="1"/>
  <c r="I153" i="4"/>
  <c r="I152" i="4"/>
  <c r="I151" i="4"/>
  <c r="I150" i="4"/>
  <c r="I149" i="4"/>
  <c r="E154" i="4"/>
  <c r="E153" i="4"/>
  <c r="E152" i="4"/>
  <c r="E151" i="4"/>
  <c r="E150" i="4"/>
  <c r="E149" i="4"/>
  <c r="E9" i="4" l="1"/>
  <c r="I140" i="4" l="1"/>
  <c r="F140" i="4"/>
  <c r="I137" i="4"/>
  <c r="F137" i="4"/>
  <c r="I136" i="4"/>
  <c r="F136" i="4"/>
  <c r="I128" i="4"/>
  <c r="I127" i="4"/>
  <c r="I126" i="4"/>
  <c r="I125" i="4"/>
  <c r="I124" i="4"/>
  <c r="I123" i="4"/>
  <c r="F128" i="4"/>
  <c r="F124" i="4"/>
  <c r="F125" i="4"/>
  <c r="F126" i="4"/>
  <c r="F127" i="4"/>
  <c r="F123" i="4"/>
  <c r="I122" i="4" l="1"/>
  <c r="I120" i="4"/>
  <c r="I119" i="4"/>
  <c r="F122" i="4"/>
  <c r="F121" i="4"/>
  <c r="F120" i="4"/>
  <c r="F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E115" i="4"/>
  <c r="E116" i="4"/>
  <c r="E111" i="4"/>
  <c r="E112" i="4"/>
  <c r="I103" i="4"/>
  <c r="I98" i="4"/>
  <c r="I97" i="4"/>
  <c r="I96" i="4"/>
  <c r="I95" i="4"/>
  <c r="I94" i="4"/>
  <c r="I93" i="4"/>
  <c r="F98" i="4"/>
  <c r="F94" i="4"/>
  <c r="F95" i="4"/>
  <c r="F96" i="4"/>
  <c r="F97" i="4"/>
  <c r="F93" i="4"/>
  <c r="F92" i="4"/>
  <c r="F91" i="4"/>
  <c r="F90" i="4"/>
  <c r="I90" i="4" s="1"/>
  <c r="F89" i="4"/>
  <c r="I61" i="4"/>
  <c r="I60" i="4"/>
  <c r="I59" i="4"/>
  <c r="I58" i="4"/>
  <c r="I57" i="4"/>
  <c r="F58" i="4"/>
  <c r="F59" i="4"/>
  <c r="F60" i="4"/>
  <c r="F61" i="4"/>
  <c r="F57" i="4"/>
  <c r="I135" i="4" l="1"/>
  <c r="I134" i="4"/>
  <c r="I133" i="4"/>
  <c r="I132" i="4"/>
  <c r="I89" i="4"/>
  <c r="K154" i="4" l="1"/>
  <c r="K153" i="4"/>
  <c r="K152" i="4"/>
  <c r="K151" i="4"/>
  <c r="K150" i="4"/>
  <c r="K149" i="4"/>
  <c r="E162" i="4"/>
  <c r="I167" i="4" l="1"/>
  <c r="E167" i="4"/>
  <c r="I166" i="4"/>
  <c r="E166" i="4"/>
  <c r="I165" i="4"/>
  <c r="E165" i="4"/>
  <c r="I164" i="4"/>
  <c r="E164" i="4"/>
  <c r="I163" i="4"/>
  <c r="E163" i="4"/>
  <c r="I162" i="4"/>
  <c r="K167" i="4" l="1"/>
  <c r="K166" i="4"/>
  <c r="K165" i="4"/>
  <c r="K164" i="4"/>
  <c r="K163" i="4"/>
  <c r="K162" i="4"/>
  <c r="J167" i="4"/>
  <c r="J166" i="4"/>
  <c r="J165" i="4"/>
  <c r="J164" i="4"/>
  <c r="J163" i="4"/>
  <c r="J162" i="4"/>
  <c r="E93" i="4" l="1"/>
  <c r="O147" i="4" l="1"/>
  <c r="O152" i="4" s="1"/>
  <c r="J154" i="4"/>
  <c r="J153" i="4"/>
  <c r="J152" i="4"/>
  <c r="J151" i="4"/>
  <c r="J150" i="4"/>
  <c r="J149" i="4"/>
  <c r="M149" i="4"/>
  <c r="O151" i="4" l="1"/>
  <c r="O149" i="4"/>
  <c r="P149" i="4"/>
  <c r="N149" i="4"/>
  <c r="O150" i="4"/>
  <c r="I92" i="4" l="1"/>
  <c r="I91" i="4"/>
  <c r="I65" i="4" l="1"/>
  <c r="E65" i="4"/>
  <c r="E34" i="4"/>
  <c r="X167" i="4"/>
  <c r="W167" i="4"/>
  <c r="X166" i="4"/>
  <c r="W166" i="4"/>
  <c r="X165" i="4"/>
  <c r="W165" i="4"/>
  <c r="X164" i="4"/>
  <c r="W164" i="4"/>
  <c r="X163" i="4"/>
  <c r="X162" i="4"/>
  <c r="W163" i="4"/>
  <c r="W162" i="4"/>
  <c r="Z154" i="4"/>
  <c r="Z153" i="4"/>
  <c r="Z152" i="4"/>
  <c r="Z149" i="4"/>
  <c r="X154" i="4"/>
  <c r="X153" i="4"/>
  <c r="X152" i="4"/>
  <c r="X149" i="4"/>
  <c r="W154" i="4"/>
  <c r="W153" i="4"/>
  <c r="W152" i="4"/>
  <c r="W149" i="4"/>
  <c r="H37" i="4" l="1"/>
  <c r="I70" i="4" l="1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69" i="4"/>
  <c r="I63" i="4"/>
  <c r="I55" i="4"/>
  <c r="I53" i="4"/>
  <c r="I51" i="4"/>
  <c r="I48" i="4"/>
  <c r="I45" i="4"/>
  <c r="I42" i="4"/>
  <c r="I40" i="4"/>
  <c r="I37" i="4"/>
  <c r="I33" i="4"/>
  <c r="I30" i="4"/>
  <c r="I29" i="4"/>
  <c r="I26" i="4"/>
  <c r="I23" i="4"/>
  <c r="I21" i="4"/>
  <c r="I19" i="4"/>
  <c r="I16" i="4"/>
  <c r="I15" i="4"/>
  <c r="I13" i="4"/>
  <c r="I12" i="4"/>
  <c r="I10" i="4"/>
  <c r="I9" i="4"/>
  <c r="E42" i="4"/>
  <c r="E21" i="4"/>
  <c r="E55" i="4"/>
  <c r="E59" i="4" l="1"/>
  <c r="E61" i="4"/>
  <c r="E57" i="4"/>
  <c r="BI155" i="4"/>
  <c r="BH155" i="4"/>
  <c r="BE155" i="4"/>
  <c r="BL154" i="4"/>
  <c r="BM154" i="4" s="1"/>
  <c r="BE154" i="4"/>
  <c r="AV154" i="4"/>
  <c r="BL153" i="4"/>
  <c r="BK153" i="4"/>
  <c r="BE153" i="4"/>
  <c r="AV153" i="4"/>
  <c r="BL152" i="4"/>
  <c r="BK152" i="4"/>
  <c r="BE152" i="4"/>
  <c r="AV152" i="4"/>
  <c r="BL151" i="4"/>
  <c r="BK151" i="4"/>
  <c r="BE151" i="4"/>
  <c r="AV151" i="4"/>
  <c r="BL150" i="4"/>
  <c r="BK150" i="4"/>
  <c r="BE150" i="4"/>
  <c r="AV150" i="4"/>
  <c r="BL149" i="4"/>
  <c r="BK149" i="4"/>
  <c r="BF149" i="4"/>
  <c r="BE149" i="4"/>
  <c r="AV149" i="4"/>
  <c r="I145" i="4"/>
  <c r="E145" i="4"/>
  <c r="I144" i="4"/>
  <c r="E144" i="4"/>
  <c r="I142" i="4"/>
  <c r="E142" i="4"/>
  <c r="I141" i="4"/>
  <c r="E141" i="4"/>
  <c r="E140" i="4"/>
  <c r="E139" i="4"/>
  <c r="I139" i="4" s="1"/>
  <c r="E138" i="4"/>
  <c r="I138" i="4" s="1"/>
  <c r="E137" i="4"/>
  <c r="E136" i="4"/>
  <c r="E135" i="4"/>
  <c r="E134" i="4"/>
  <c r="E133" i="4"/>
  <c r="E132" i="4"/>
  <c r="AX130" i="4"/>
  <c r="AY129" i="4"/>
  <c r="E128" i="4"/>
  <c r="E127" i="4"/>
  <c r="E126" i="4"/>
  <c r="E125" i="4"/>
  <c r="E124" i="4"/>
  <c r="E123" i="4"/>
  <c r="E122" i="4"/>
  <c r="E121" i="4"/>
  <c r="I121" i="4" s="1"/>
  <c r="E120" i="4"/>
  <c r="E119" i="4"/>
  <c r="E118" i="4"/>
  <c r="E117" i="4"/>
  <c r="E114" i="4"/>
  <c r="E113" i="4"/>
  <c r="E110" i="4"/>
  <c r="E109" i="4"/>
  <c r="E108" i="4"/>
  <c r="E107" i="4"/>
  <c r="E106" i="4"/>
  <c r="E105" i="4"/>
  <c r="E104" i="4"/>
  <c r="E103" i="4"/>
  <c r="AZ100" i="4"/>
  <c r="BC100" i="4" s="1"/>
  <c r="AX100" i="4"/>
  <c r="E98" i="4"/>
  <c r="E97" i="4"/>
  <c r="E96" i="4"/>
  <c r="E95" i="4"/>
  <c r="E94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AZ66" i="4"/>
  <c r="BC66" i="4" s="1"/>
  <c r="AX66" i="4"/>
  <c r="I64" i="4"/>
  <c r="E64" i="4"/>
  <c r="I62" i="4"/>
  <c r="E62" i="4"/>
  <c r="E60" i="4"/>
  <c r="E58" i="4"/>
  <c r="AU56" i="4"/>
  <c r="E56" i="4"/>
  <c r="E53" i="4"/>
  <c r="E51" i="4"/>
  <c r="E48" i="4"/>
  <c r="E45" i="4"/>
  <c r="E40" i="4"/>
  <c r="E37" i="4"/>
  <c r="E33" i="4"/>
  <c r="E30" i="4"/>
  <c r="E29" i="4"/>
  <c r="E26" i="4"/>
  <c r="E19" i="4"/>
  <c r="E16" i="4"/>
  <c r="E15" i="4"/>
  <c r="E13" i="4"/>
  <c r="E12" i="4"/>
  <c r="BM7" i="4"/>
  <c r="BQ7" i="4" s="1"/>
  <c r="BM149" i="4" l="1"/>
  <c r="BQ149" i="4" s="1"/>
  <c r="BM150" i="4"/>
  <c r="BT150" i="4" s="1"/>
  <c r="BM152" i="4"/>
  <c r="BQ152" i="4" s="1"/>
  <c r="BM151" i="4"/>
  <c r="BT151" i="4" s="1"/>
  <c r="BM153" i="4"/>
  <c r="BT153" i="4" s="1"/>
  <c r="BQ154" i="4"/>
  <c r="BT154" i="4"/>
  <c r="BO154" i="4"/>
  <c r="BP154" i="4" s="1"/>
  <c r="BO7" i="4"/>
  <c r="BP7" i="4" s="1"/>
  <c r="E10" i="4"/>
  <c r="E23" i="4"/>
  <c r="BO150" i="4"/>
  <c r="BP150" i="4" s="1"/>
  <c r="BT149" i="4" l="1"/>
  <c r="BQ153" i="4"/>
  <c r="BO153" i="4"/>
  <c r="BP153" i="4" s="1"/>
  <c r="BT152" i="4"/>
  <c r="BO149" i="4"/>
  <c r="BP149" i="4" s="1"/>
  <c r="BO152" i="4"/>
  <c r="BP152" i="4" s="1"/>
  <c r="BQ150" i="4"/>
  <c r="BU150" i="4" s="1"/>
  <c r="BO151" i="4"/>
  <c r="BP151" i="4" s="1"/>
  <c r="BQ151" i="4"/>
  <c r="BU151" i="4" s="1"/>
  <c r="BU152" i="4"/>
  <c r="BR154" i="4"/>
  <c r="BR153" i="4"/>
  <c r="BU154" i="4"/>
  <c r="BU153" i="4"/>
  <c r="BU149" i="4"/>
  <c r="BR152" i="4"/>
  <c r="BR7" i="4"/>
  <c r="BR150" i="4" l="1"/>
  <c r="BR149" i="4"/>
  <c r="BR151" i="4"/>
</calcChain>
</file>

<file path=xl/sharedStrings.xml><?xml version="1.0" encoding="utf-8"?>
<sst xmlns="http://schemas.openxmlformats.org/spreadsheetml/2006/main" count="817" uniqueCount="204">
  <si>
    <t>Краевой норматив на административно-управленический и учебно-вспомогательный персонал</t>
  </si>
  <si>
    <t>Затраты на содержание недвижимого имущества</t>
  </si>
  <si>
    <t>Базовые нормативы затрат для муниципальных учреждений</t>
  </si>
  <si>
    <t>Наименование услуги и уникальный номер реестровой записи</t>
  </si>
  <si>
    <t>Базовый норматив затрат на единицу объема</t>
  </si>
  <si>
    <t>Краевой норматив на образовательную услугу</t>
  </si>
  <si>
    <t>Затраты на оплату труда работников, непосредственно связанных с оказанием услуги</t>
  </si>
  <si>
    <t>Затраты на коммунальные услуги</t>
  </si>
  <si>
    <t>в соответствии с перечнем</t>
  </si>
  <si>
    <t>в рублях</t>
  </si>
  <si>
    <t>Группы общеразвивающей направленности (за исключением малокомплектных образовательных организаций)</t>
  </si>
  <si>
    <t>городской населенный пункт</t>
  </si>
  <si>
    <t>сельский населенный пункт</t>
  </si>
  <si>
    <t>0,00</t>
  </si>
  <si>
    <t>чел.</t>
  </si>
  <si>
    <t>группа</t>
  </si>
  <si>
    <t>Ед.изм. Услуги</t>
  </si>
  <si>
    <t>Обучение детей  в образовательных организациях, реализующих программы общего образования (k = 1)</t>
  </si>
  <si>
    <t>человек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</si>
  <si>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</si>
  <si>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</si>
  <si>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</si>
  <si>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</si>
  <si>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х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</si>
  <si>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</si>
  <si>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Форма организации обучения детей. Направленность групп образовательной организации</t>
  </si>
  <si>
    <t>Наименование образовательной организации</t>
  </si>
  <si>
    <t>МБОУ ДО "ДДТ"</t>
  </si>
  <si>
    <t>1. Образовательные учреждения</t>
  </si>
  <si>
    <t>Группы общеразвивающей направленности, созданные в малокомплектных образовательных организациях, сельский населенный пункт</t>
  </si>
  <si>
    <t>Группы общеразвивающей направленности, в которых воспитанники посещают бассейн (дополнительный норматив)</t>
  </si>
  <si>
    <t>Местный норматив на содержание учреждения</t>
  </si>
  <si>
    <t>Инклюзивное обучение детей c ограниченными возможностями здоровья в общеобразовательных классах образовательных организаций (k = 9) в т.ч:</t>
  </si>
  <si>
    <t>Индивидуальное обучение детей при наличии соответствующего медицинского заключения и детей-инвалидов на дому (k = 10) город</t>
  </si>
  <si>
    <t>Обучение детей, находящихся на длительном лечении в медицинских учреждениях (индивидуальное, групповое) (k = 11) город</t>
  </si>
  <si>
    <t>Обучение детей, находящихся на длительном лечении в медицинских учреждениях (индивидуальное, групповое) (k = 11) село</t>
  </si>
  <si>
    <t>t=6 город</t>
  </si>
  <si>
    <t>t=6 село</t>
  </si>
  <si>
    <t>t=12 город</t>
  </si>
  <si>
    <t>t=12 село</t>
  </si>
  <si>
    <t xml:space="preserve"> Индивидуальное обучение детей при наличии соответствующего медицинского заключения и детей-инвалидов на дому (k = 10) село</t>
  </si>
  <si>
    <t>Индивидуальное обучение детей при наличии соответствующего медицинского заключения и детей-инвалидов на дому (k = 10) село</t>
  </si>
  <si>
    <t>Инклюзивное обучение детей c ограниченными возможностями здоровья в общеобразовательных классах образовательных организаций (k = 9) в т.ч :</t>
  </si>
  <si>
    <t>t=2 город</t>
  </si>
  <si>
    <t>t=2 село</t>
  </si>
  <si>
    <t>t=4 город</t>
  </si>
  <si>
    <t>t=4 село</t>
  </si>
  <si>
    <t>t=8 город</t>
  </si>
  <si>
    <t>t=8 село</t>
  </si>
  <si>
    <t>t=10 город</t>
  </si>
  <si>
    <t>t=10 село</t>
  </si>
  <si>
    <t>t=5 город</t>
  </si>
  <si>
    <t>t=5 село</t>
  </si>
  <si>
    <t>t=7 город</t>
  </si>
  <si>
    <t>t=7 село</t>
  </si>
  <si>
    <t>t=9 город</t>
  </si>
  <si>
    <t>t=9 село</t>
  </si>
  <si>
    <t>человек-час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</si>
  <si>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</si>
  <si>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</si>
  <si>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 xml:space="preserve">Приложение № 2 к Приказу 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</si>
  <si>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</si>
  <si>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 804200О.99.0.ББ52А368000</t>
  </si>
  <si>
    <t>Реализация дополнительных общеразвивающих программ (физкультурно-спортивное направление)  804200О.99.0.ББ52АЕ52000</t>
  </si>
  <si>
    <t>Реализация дополнительных общеразвивающих программ (художественное направление) 804200О.99.0.ББ52АЕ76000</t>
  </si>
  <si>
    <t>Присмотр и уход  853211О.99.0.БВ19АА68000; 853211О.99.0.БВ19АА56000; 853211О.99.0.БВ19АБ82000; 853211О.99.0.БВ19АА20000</t>
  </si>
  <si>
    <t>Реализация основных общеобразовательных программ начального общего образования  801012О.99.0.БА81АЭ92001; 801012О.99.0.БА81АА00001; 801012О.99.0.БА81АЮ16001</t>
  </si>
  <si>
    <t>Реализация основных общеобразовательных программ среднего общего образования 802112О.99.0.ББ11АЮ58001; 802112О.99.0.ББ11АА00001; 802112О.99.0.ББ11АЮ83001</t>
  </si>
  <si>
    <t>Реализация основных образовательных программ дошкольного образования 801011О.99.0.БВ24ДП02000; 801011О.99.0.БВ24ДН82000; 801011О.99.0.БВ24ГД82000; 801011О.99.0.БВ24АУ02000; 801011О.99.0.БВ24АВ42000;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</si>
  <si>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</si>
  <si>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шк2</t>
  </si>
  <si>
    <t>шк4</t>
  </si>
  <si>
    <t>шк5</t>
  </si>
  <si>
    <t>шк9</t>
  </si>
  <si>
    <t>гим 10</t>
  </si>
  <si>
    <t>шк 7</t>
  </si>
  <si>
    <t>шк 2</t>
  </si>
  <si>
    <t>шк 4</t>
  </si>
  <si>
    <t>шк 5</t>
  </si>
  <si>
    <t>шк 9</t>
  </si>
  <si>
    <t>К1</t>
  </si>
  <si>
    <t>до 3 лет (b3)</t>
  </si>
  <si>
    <t>К11</t>
  </si>
  <si>
    <t>разновозрастные группы (b13)</t>
  </si>
  <si>
    <t>Группы компенсирующей направленности для воспитанников с ограниченными возможностями здоровья (за исключением малокомплектных образовательных организаций)</t>
  </si>
  <si>
    <t>К2</t>
  </si>
  <si>
    <t>К3</t>
  </si>
  <si>
    <t>К5</t>
  </si>
  <si>
    <t>Группы комбинированной  направленности (за исключением малокомплектных образовательных организаций), городской населенный пункт</t>
  </si>
  <si>
    <t>К9</t>
  </si>
  <si>
    <t>t=11 город</t>
  </si>
  <si>
    <t>t=11 село</t>
  </si>
  <si>
    <t>Заочное обучение детей в образовательных организациях, реализующие основные общеобразовательные программы (k = 13)</t>
  </si>
  <si>
    <t>К10</t>
  </si>
  <si>
    <t xml:space="preserve">Группы компенсирующей направленности для  воспитанников с ограниченными возможностями здоровья, посещающих бассейн </t>
  </si>
  <si>
    <t>3. Учреждения дополнительного образования детей (норматив по ПФ ДОД)</t>
  </si>
  <si>
    <t>Реализация дополнительных общеразвивающих программ (Персонифицированное финансирование) (Техническое направление) 804200О.99.0.ББ52АЕ04000</t>
  </si>
  <si>
    <t>Реализация дополнительных общеразвивающих программ (Персонифицированное финансирование) (Туристическо-краеведческое направление)  804200О.99.0.ББ52А368000</t>
  </si>
  <si>
    <t>Реализация дополнительных общеразвивающих программ (Персонифицированное финансирование) (Физкультурно-спортивное направление)  804200О.99.0.ББ52АЕ52000</t>
  </si>
  <si>
    <t>Реализация дополнительных общеразвивающих программ (Персонифицированное финансирование) (Художественное направление) 804200О.99.0.ББ52АЕ76000</t>
  </si>
  <si>
    <t>Реализация дополнительных общеразвивающих программ (Персонифицированное финансирование) (Естественно-научное направление)  804200О.99.0.ББ52АЕ28000; 804200О.99.0.ББ52АЕ28000</t>
  </si>
  <si>
    <t>Реализация дополнительных общеразвивающих программ (Персонифицированное финансирование) (Социально-гуманитарное направление) 804200О.99.0.ББ52АЖ24000</t>
  </si>
  <si>
    <t>x</t>
  </si>
  <si>
    <t>Базовый норматив затрат на единицу объема на 01.01.2021г.</t>
  </si>
  <si>
    <t>Затраты на на ОТ1 (з/п)</t>
  </si>
  <si>
    <t>материалы</t>
  </si>
  <si>
    <t>КУ</t>
  </si>
  <si>
    <t>Затраты на содержан.недвиж.имущ-ва</t>
  </si>
  <si>
    <t>связь</t>
  </si>
  <si>
    <t>Затраты на ОТ2</t>
  </si>
  <si>
    <t>Затраты прочие</t>
  </si>
  <si>
    <t>сумма прочих расходов</t>
  </si>
  <si>
    <t>Базовый норматив затрат на единицу объема на 17.02.2021г.</t>
  </si>
  <si>
    <r>
      <rPr>
        <b/>
        <sz val="9"/>
        <color theme="9" tint="-0.499984740745262"/>
        <rFont val="Calibri"/>
        <family val="2"/>
        <charset val="204"/>
        <scheme val="minor"/>
      </rPr>
      <t>з/п</t>
    </r>
    <r>
      <rPr>
        <sz val="9"/>
        <color theme="9" tint="-0.499984740745262"/>
        <rFont val="Calibri"/>
        <family val="2"/>
        <charset val="204"/>
        <scheme val="minor"/>
      </rPr>
      <t xml:space="preserve"> после корректировки 17.02.21г.</t>
    </r>
  </si>
  <si>
    <t>повышающ.коэф.на з/п</t>
  </si>
  <si>
    <r>
      <rPr>
        <b/>
        <sz val="9"/>
        <color rgb="FF0070C0"/>
        <rFont val="Calibri"/>
        <family val="2"/>
        <charset val="204"/>
        <scheme val="minor"/>
      </rPr>
      <t>з/п</t>
    </r>
    <r>
      <rPr>
        <sz val="9"/>
        <color rgb="FF0070C0"/>
        <rFont val="Calibri"/>
        <family val="2"/>
        <charset val="204"/>
        <scheme val="minor"/>
      </rPr>
      <t xml:space="preserve"> после корректировки 31.04.21г.</t>
    </r>
  </si>
  <si>
    <t>Базовый норматив затрат на единицу объема на 31.04.2021г.</t>
  </si>
  <si>
    <t>из прилож.№3</t>
  </si>
  <si>
    <r>
      <rPr>
        <b/>
        <sz val="9"/>
        <color theme="5" tint="-0.249977111117893"/>
        <rFont val="Calibri"/>
        <family val="2"/>
        <charset val="204"/>
        <scheme val="minor"/>
      </rPr>
      <t>з/п</t>
    </r>
    <r>
      <rPr>
        <sz val="9"/>
        <color theme="5" tint="-0.249977111117893"/>
        <rFont val="Calibri"/>
        <family val="2"/>
        <charset val="204"/>
        <scheme val="minor"/>
      </rPr>
      <t xml:space="preserve"> после корректировки 31.04.21г.</t>
    </r>
  </si>
  <si>
    <t>з/п</t>
  </si>
  <si>
    <t>содерж.недвиж.имущ-ва</t>
  </si>
  <si>
    <t>норматив в 2021г.</t>
  </si>
  <si>
    <t>норматив ПФ в 2022г.</t>
  </si>
  <si>
    <t>норматив м/б в 2022г.</t>
  </si>
  <si>
    <t>Мисько Галина Владимировна (39144)3-16-33</t>
  </si>
  <si>
    <t>з/п взята из расчета ПФ</t>
  </si>
  <si>
    <t>Реализация основных общеобразовательных программ основного общего образования  802111О.99.0.БА96АЮ58001; 802111О.99.0.БА96АА00001; 802111О.99.0.БА96АЮ83001</t>
  </si>
  <si>
    <t>Реализация дополнительных общеобразовательных общеразвивающих программ 801012О.99.0.ББ57АЕ52000; 804200О.99.0.ББ52АЕ76000; 804200О.99.0.ББ52АЕ04000; 804200О.99.0.ББ52АЖ24000; 824200О.99.0.ББ52АЕ28000</t>
  </si>
  <si>
    <t>Группы оздоровительной направленности (за исключением малокомплектных образовательных организаций), городской населенный пункт</t>
  </si>
  <si>
    <t>К4</t>
  </si>
  <si>
    <t>Группы оздоровительной направленности, в которых воспитанники посещают бассейн (дополнительный норматив)</t>
  </si>
  <si>
    <t>*</t>
  </si>
  <si>
    <t>Обучение детей  в образовательных организациях, реализующих программы общего образования (k = 1) мат класс</t>
  </si>
  <si>
    <t>Ведение бух.учета самостоятельно</t>
  </si>
  <si>
    <t>Минимальный норматив финансового обеспечения на 1 организацию на ведение бухгалтерского учета в образовательных организациях ведущих такой учет самостоятельно, v-й численности обучающихся</t>
  </si>
  <si>
    <t>кол.</t>
  </si>
  <si>
    <t>Дополнительный норматив обеспечения расходов на ведение бухгалтерского учета в образовательных организациях на каждые 50 обучающихся сверх численности (для городских населенных пунктов – свыше 476, для сельских населенных пунктов – свыше 400), включенной в норматив расходов на ведение бухгалтерского учета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</si>
  <si>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(город)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</si>
  <si>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(село)</t>
  </si>
  <si>
    <t>в затраты на оплату труда не входит оплата труда местный</t>
  </si>
  <si>
    <t>з/п осталась расчетной по баз.нормативу по М/Б, т.к. она не превышает расчетный норматив по ПФ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</si>
  <si>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(город)</t>
  </si>
  <si>
    <t>Методическое обеспечение образовательной деятельности Р.01.1.0007.0001.002</t>
  </si>
  <si>
    <t>до 3 лет (b=3)</t>
  </si>
  <si>
    <t>сред.образ.</t>
  </si>
  <si>
    <t>основн.образ.</t>
  </si>
  <si>
    <t>село</t>
  </si>
  <si>
    <t>нач.образ.</t>
  </si>
  <si>
    <t>2001,379- на 1 человека</t>
  </si>
  <si>
    <t>521,13- на 1 человека</t>
  </si>
  <si>
    <t>20921,78- на 1 человека</t>
  </si>
  <si>
    <t>5390,92- на 1 человека</t>
  </si>
  <si>
    <t>2011,69- на 1 человека</t>
  </si>
  <si>
    <t>518,35- на 1 человека</t>
  </si>
  <si>
    <t>базовый нормативнорматив м/б в 2023г.</t>
  </si>
  <si>
    <t>норматив</t>
  </si>
  <si>
    <t>базовый нормативнорматив ПФ  в 2023г.</t>
  </si>
  <si>
    <t>норматив, корректировка от 30.08.23г</t>
  </si>
  <si>
    <t>Группы комбинированной направленности, в которых воспитанники посещают бассейн (дополнительный норматив)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</si>
  <si>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(село)</t>
  </si>
  <si>
    <t>%</t>
  </si>
  <si>
    <t>руб.</t>
  </si>
  <si>
    <t>прочие</t>
  </si>
  <si>
    <t>Сумма по Бюджет.росписи от 03.06.24г</t>
  </si>
  <si>
    <t>гим 10,шк4,шк5,шк9</t>
  </si>
  <si>
    <t>от 3 до 8 лет (b=8, t4,7,10)</t>
  </si>
  <si>
    <t>от 3 до 8 лет (b=8, t1)</t>
  </si>
  <si>
    <t>от 3 до 8 лет (b=8)</t>
  </si>
  <si>
    <r>
      <t xml:space="preserve"> мероприятия </t>
    </r>
    <r>
      <rPr>
        <sz val="9"/>
        <rFont val="Times New Roman"/>
        <family val="1"/>
        <charset val="204"/>
      </rPr>
      <t>(штук)</t>
    </r>
  </si>
  <si>
    <t>2. Учреждения дополнительного образования детей (местный бюджет, ПФ ДОД)</t>
  </si>
  <si>
    <t>от 3 до 8 лет (b8)</t>
  </si>
  <si>
    <t>от 3 до 8 лет (b8, t1,8)</t>
  </si>
  <si>
    <t>от 3 до 8 лет (b8, t7)</t>
  </si>
  <si>
    <t>от 3 до 8 лет  (b13)</t>
  </si>
  <si>
    <t>от 3 до 8 лет город (b8)</t>
  </si>
  <si>
    <t>от 3 до 8 лет (b=13)</t>
  </si>
  <si>
    <t>332314,42 на 1 класс</t>
  </si>
  <si>
    <t xml:space="preserve">965901,98+280314,42- на 1 класс </t>
  </si>
  <si>
    <t>955631,11 на 1 класс+ 2198,86на 1 человека</t>
  </si>
  <si>
    <t>919365,17+280314,42 на 1 класс</t>
  </si>
  <si>
    <t>1507123,31- на 1 класс+ 2750,57 на 1 человека</t>
  </si>
  <si>
    <t>1429098,5+280314,42- на 1 класс</t>
  </si>
  <si>
    <t>1273397,23 на 1 класс+2750,57на 1 человека</t>
  </si>
  <si>
    <t>1214098,38+280314,42 на 1 класс</t>
  </si>
  <si>
    <t>1955117,81- на 1 класс+2726,40 на 1 человека</t>
  </si>
  <si>
    <t>1877093+280314,42- на 1 класс</t>
  </si>
  <si>
    <t>1428519,97 на 1 класс+2726,40на 1 человека</t>
  </si>
  <si>
    <t>1369221,12+280314,42на 1 класс</t>
  </si>
  <si>
    <t>56222,49- на 1 человека</t>
  </si>
  <si>
    <t>56222,49 - на 1 человека</t>
  </si>
  <si>
    <t>56 222,49- на 1 человека</t>
  </si>
  <si>
    <t>56 222,49 на 1 человека</t>
  </si>
  <si>
    <t>1 013 620,33- на 1 класс + 26223,12 на 1 человека</t>
  </si>
  <si>
    <t>1 013 620,33- на 1 класс+ 2198,86- на 1 человека учебники</t>
  </si>
  <si>
    <t>332 314,42 на 1 класс</t>
  </si>
  <si>
    <t>955631,11 на 1 класс+26223,12 на 1 человека</t>
  </si>
  <si>
    <t>1507123,31 на 1 класс+ 25935,99 на 1 человека</t>
  </si>
  <si>
    <t>1273397,23на 1 класс+ 25935,99 на 1 человека</t>
  </si>
  <si>
    <t>1955117,81- на 1 класс+51179,02 на 1 человека</t>
  </si>
  <si>
    <t>1428519,97 на 1 класс+ 51179,02на 1 человека</t>
  </si>
  <si>
    <t>29+194,07</t>
  </si>
  <si>
    <t>Реализация дополнительных общеразвивающих программ (социально-гуманитарное направление) 854100О.99.0.ББ52БЭ28000</t>
  </si>
  <si>
    <t>Реализация дополнительных общеразвивающих программ (естественно-научное направление)  804200О.99.0.ББ52АЕ28000</t>
  </si>
  <si>
    <t>от  15.06.2026 г. №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</si>
</sst>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#,##0.00000"/>
    <numFmt numFmtId="167" formatCode="0.000"/>
  </numFmts>
  <fonts count="44" x14ac:knownFonts="1">
    <font>
      <sz val="10"/>
      <name val="Arial"/>
    </font>
    <font>
      <sz val="1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9" tint="-0.499984740745262"/>
      <name val="Times New Roman"/>
      <family val="1"/>
      <charset val="204"/>
    </font>
    <font>
      <sz val="9"/>
      <color theme="9" tint="-0.499984740745262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9"/>
      <color rgb="FF0070C0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sz val="8"/>
      <color rgb="FF0070C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70C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5" tint="-0.249977111117893"/>
      <name val="Calibri"/>
      <family val="2"/>
      <charset val="204"/>
      <scheme val="minor"/>
    </font>
    <font>
      <b/>
      <sz val="9"/>
      <color theme="5" tint="-0.249977111117893"/>
      <name val="Calibri"/>
      <family val="2"/>
      <charset val="204"/>
      <scheme val="minor"/>
    </font>
    <font>
      <sz val="8"/>
      <color theme="5" tint="-0.249977111117893"/>
      <name val="Times New Roman"/>
      <family val="1"/>
      <charset val="204"/>
    </font>
    <font>
      <b/>
      <sz val="10"/>
      <color theme="5" tint="-0.24997711111789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70C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1"/>
    <xf numFmtId="0" fontId="41" fillId="0" borderId="1"/>
  </cellStyleXfs>
  <cellXfs count="17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/>
    </xf>
    <xf numFmtId="0" fontId="8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0" xfId="0" applyFont="1" applyFill="1"/>
    <xf numFmtId="4" fontId="9" fillId="0" borderId="0" xfId="0" applyNumberFormat="1" applyFont="1" applyFill="1"/>
    <xf numFmtId="0" fontId="10" fillId="0" borderId="0" xfId="0" applyFont="1" applyFill="1"/>
    <xf numFmtId="0" fontId="9" fillId="0" borderId="0" xfId="0" applyFont="1" applyFill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3" borderId="0" xfId="1" applyFill="1"/>
    <xf numFmtId="0" fontId="9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4" borderId="0" xfId="0" applyFont="1" applyFill="1"/>
    <xf numFmtId="4" fontId="11" fillId="3" borderId="1" xfId="0" applyNumberFormat="1" applyFont="1" applyFill="1" applyBorder="1" applyAlignment="1">
      <alignment horizontal="right"/>
    </xf>
    <xf numFmtId="0" fontId="13" fillId="0" borderId="0" xfId="0" applyFont="1" applyFill="1"/>
    <xf numFmtId="4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 indent="1"/>
    </xf>
    <xf numFmtId="0" fontId="12" fillId="0" borderId="0" xfId="0" applyFont="1" applyFill="1"/>
    <xf numFmtId="4" fontId="1" fillId="3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 applyFill="1" applyAlignment="1">
      <alignment vertical="top"/>
    </xf>
    <xf numFmtId="0" fontId="14" fillId="0" borderId="0" xfId="0" applyFont="1" applyFill="1"/>
    <xf numFmtId="4" fontId="1" fillId="3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4" fontId="1" fillId="0" borderId="0" xfId="0" applyNumberFormat="1" applyFont="1" applyFill="1"/>
    <xf numFmtId="0" fontId="1" fillId="3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4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/>
    <xf numFmtId="0" fontId="16" fillId="3" borderId="2" xfId="0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4" fontId="18" fillId="5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vertical="center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" fontId="29" fillId="3" borderId="2" xfId="0" applyNumberFormat="1" applyFont="1" applyFill="1" applyBorder="1" applyAlignment="1">
      <alignment horizontal="center" vertical="center"/>
    </xf>
    <xf numFmtId="165" fontId="28" fillId="3" borderId="2" xfId="0" applyNumberFormat="1" applyFont="1" applyFill="1" applyBorder="1" applyAlignment="1">
      <alignment horizontal="center" vertical="center"/>
    </xf>
    <xf numFmtId="4" fontId="26" fillId="3" borderId="2" xfId="0" applyNumberFormat="1" applyFont="1" applyFill="1" applyBorder="1" applyAlignment="1">
      <alignment horizontal="center" vertical="center"/>
    </xf>
    <xf numFmtId="166" fontId="28" fillId="3" borderId="2" xfId="0" applyNumberFormat="1" applyFont="1" applyFill="1" applyBorder="1" applyAlignment="1">
      <alignment horizontal="center" vertical="center"/>
    </xf>
    <xf numFmtId="2" fontId="27" fillId="3" borderId="2" xfId="0" applyNumberFormat="1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4" fontId="31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wrapText="1"/>
    </xf>
    <xf numFmtId="0" fontId="9" fillId="0" borderId="2" xfId="0" applyFont="1" applyFill="1" applyBorder="1"/>
    <xf numFmtId="0" fontId="1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/>
    <xf numFmtId="4" fontId="10" fillId="0" borderId="0" xfId="0" applyNumberFormat="1" applyFont="1" applyFill="1"/>
    <xf numFmtId="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4" fontId="15" fillId="0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 wrapText="1"/>
    </xf>
    <xf numFmtId="4" fontId="40" fillId="3" borderId="1" xfId="0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 applyAlignment="1">
      <alignment horizontal="center" vertical="center"/>
    </xf>
    <xf numFmtId="0" fontId="43" fillId="0" borderId="2" xfId="0" applyFont="1" applyFill="1" applyBorder="1" applyAlignment="1">
      <alignment horizontal="left" vertical="center" wrapText="1"/>
    </xf>
    <xf numFmtId="4" fontId="43" fillId="7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4" fontId="1" fillId="7" borderId="2" xfId="0" applyNumberFormat="1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>
      <alignment horizontal="center" vertical="center"/>
    </xf>
    <xf numFmtId="4" fontId="1" fillId="3" borderId="1" xfId="3" applyNumberFormat="1" applyFont="1" applyFill="1" applyBorder="1" applyAlignment="1">
      <alignment horizontal="center" vertical="center"/>
    </xf>
    <xf numFmtId="4" fontId="42" fillId="0" borderId="1" xfId="3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72"/>
  <sheetViews>
    <sheetView tabSelected="1" zoomScale="80" zoomScaleNormal="80" workbookViewId="0">
      <selection activeCell="H56" sqref="H56"/>
    </sheetView>
  </sheetViews>
  <sheetFormatPr defaultColWidth="9.109375" defaultRowHeight="13.2" x14ac:dyDescent="0.25"/>
  <cols>
    <col min="1" max="1" width="29.88671875" style="7" customWidth="1"/>
    <col min="2" max="2" width="34.88671875" style="7" customWidth="1"/>
    <col min="3" max="3" width="5.44140625" style="7" customWidth="1"/>
    <col min="4" max="4" width="9.5546875" style="7" customWidth="1"/>
    <col min="5" max="5" width="15" style="7" customWidth="1"/>
    <col min="6" max="6" width="12.109375" style="20" customWidth="1"/>
    <col min="7" max="7" width="18.5546875" style="20" customWidth="1"/>
    <col min="8" max="8" width="14.33203125" style="17" customWidth="1"/>
    <col min="9" max="9" width="15.5546875" style="7" customWidth="1"/>
    <col min="10" max="10" width="12.6640625" style="17" customWidth="1"/>
    <col min="11" max="11" width="12.44140625" style="17" customWidth="1"/>
    <col min="12" max="12" width="5.6640625" style="7" customWidth="1"/>
    <col min="13" max="13" width="6.5546875" style="7" hidden="1" customWidth="1"/>
    <col min="14" max="14" width="11" style="7" hidden="1" customWidth="1"/>
    <col min="15" max="15" width="12.6640625" style="7" hidden="1" customWidth="1"/>
    <col min="16" max="17" width="6.5546875" style="7" hidden="1" customWidth="1"/>
    <col min="18" max="18" width="10.88671875" style="7" hidden="1" customWidth="1"/>
    <col min="19" max="19" width="9.44140625" style="7" hidden="1" customWidth="1"/>
    <col min="20" max="20" width="7.6640625" style="7" hidden="1" customWidth="1"/>
    <col min="21" max="21" width="9.6640625" style="7" hidden="1" customWidth="1"/>
    <col min="22" max="22" width="6.88671875" style="7" hidden="1" customWidth="1"/>
    <col min="23" max="26" width="9.6640625" style="7" hidden="1" customWidth="1"/>
    <col min="27" max="27" width="6.6640625" style="7" hidden="1" customWidth="1"/>
    <col min="28" max="31" width="9.6640625" style="7" hidden="1" customWidth="1"/>
    <col min="32" max="33" width="6.5546875" style="7" customWidth="1"/>
    <col min="34" max="34" width="15.88671875" style="7" hidden="1" customWidth="1"/>
    <col min="35" max="37" width="11.33203125" style="7" hidden="1" customWidth="1"/>
    <col min="38" max="39" width="11.33203125" style="74" customWidth="1"/>
    <col min="40" max="40" width="14.5546875" style="74" customWidth="1"/>
    <col min="41" max="45" width="11.33203125" style="7" customWidth="1"/>
    <col min="46" max="46" width="6.6640625" style="7" customWidth="1"/>
    <col min="47" max="48" width="11.33203125" style="7" hidden="1" customWidth="1"/>
    <col min="49" max="49" width="10.33203125" style="7" hidden="1" customWidth="1"/>
    <col min="50" max="50" width="10.6640625" style="7" hidden="1" customWidth="1"/>
    <col min="51" max="51" width="5.88671875" style="7" hidden="1" customWidth="1"/>
    <col min="52" max="55" width="9.109375" style="7" hidden="1" customWidth="1"/>
    <col min="56" max="56" width="9.6640625" style="7" customWidth="1"/>
    <col min="57" max="57" width="10.88671875" style="7" hidden="1" customWidth="1"/>
    <col min="58" max="58" width="10.44140625" style="7" hidden="1" customWidth="1"/>
    <col min="59" max="60" width="9.109375" style="7" hidden="1" customWidth="1"/>
    <col min="61" max="61" width="8.33203125" style="7" hidden="1" customWidth="1"/>
    <col min="62" max="62" width="8" style="7" hidden="1" customWidth="1"/>
    <col min="63" max="63" width="9.109375" style="7" hidden="1" customWidth="1"/>
    <col min="64" max="64" width="8.33203125" style="7" hidden="1" customWidth="1"/>
    <col min="65" max="65" width="8.44140625" style="7" hidden="1" customWidth="1"/>
    <col min="66" max="66" width="9.6640625" style="7" hidden="1" customWidth="1"/>
    <col min="67" max="67" width="9.109375" style="7" hidden="1" customWidth="1"/>
    <col min="68" max="68" width="10.33203125" style="7" hidden="1" customWidth="1"/>
    <col min="69" max="69" width="9.5546875" style="7" hidden="1" customWidth="1"/>
    <col min="70" max="70" width="9.109375" style="7" hidden="1" customWidth="1"/>
    <col min="71" max="71" width="11.33203125" style="7" hidden="1" customWidth="1"/>
    <col min="72" max="73" width="9.109375" style="7" hidden="1" customWidth="1"/>
    <col min="74" max="74" width="10.5546875" style="7" hidden="1" customWidth="1"/>
    <col min="75" max="75" width="10.5546875" style="7" customWidth="1"/>
    <col min="76" max="16384" width="9.109375" style="7"/>
  </cols>
  <sheetData>
    <row r="1" spans="1:71" ht="13.8" x14ac:dyDescent="0.25">
      <c r="A1" s="2"/>
      <c r="B1" s="1"/>
      <c r="C1" s="1"/>
      <c r="D1" s="1"/>
      <c r="E1" s="1"/>
      <c r="F1" s="1"/>
      <c r="G1" s="1"/>
      <c r="H1" s="1"/>
      <c r="I1" s="1"/>
      <c r="J1" s="37" t="s">
        <v>60</v>
      </c>
      <c r="K1" s="37"/>
    </row>
    <row r="2" spans="1:71" ht="13.8" x14ac:dyDescent="0.25">
      <c r="A2" s="2"/>
      <c r="B2" s="1"/>
      <c r="C2" s="1"/>
      <c r="D2" s="1"/>
      <c r="E2" s="1"/>
      <c r="F2" s="1"/>
      <c r="G2" s="1"/>
      <c r="H2" s="1"/>
      <c r="I2" s="1"/>
      <c r="J2" s="37" t="s">
        <v>203</v>
      </c>
      <c r="K2" s="37"/>
    </row>
    <row r="3" spans="1:71" ht="18" x14ac:dyDescent="0.25">
      <c r="A3" s="167" t="s">
        <v>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71" ht="15.6" x14ac:dyDescent="0.3">
      <c r="A4" s="3" t="s">
        <v>28</v>
      </c>
      <c r="B4" s="1"/>
      <c r="C4" s="1"/>
      <c r="D4" s="1"/>
      <c r="E4" s="1"/>
      <c r="F4" s="1"/>
      <c r="G4" s="1"/>
      <c r="H4" s="1"/>
      <c r="I4" s="1"/>
      <c r="J4" s="1"/>
      <c r="K4" s="38"/>
    </row>
    <row r="5" spans="1:71" ht="102.6" customHeight="1" x14ac:dyDescent="0.25">
      <c r="A5" s="15" t="s">
        <v>3</v>
      </c>
      <c r="B5" s="15" t="s">
        <v>25</v>
      </c>
      <c r="C5" s="15"/>
      <c r="D5" s="15" t="s">
        <v>16</v>
      </c>
      <c r="E5" s="15" t="s">
        <v>4</v>
      </c>
      <c r="F5" s="15" t="s">
        <v>5</v>
      </c>
      <c r="G5" s="15" t="s">
        <v>0</v>
      </c>
      <c r="H5" s="15" t="s">
        <v>31</v>
      </c>
      <c r="I5" s="15" t="s">
        <v>6</v>
      </c>
      <c r="J5" s="18" t="s">
        <v>7</v>
      </c>
      <c r="K5" s="18" t="s">
        <v>1</v>
      </c>
    </row>
    <row r="6" spans="1:71" ht="19.95" customHeight="1" x14ac:dyDescent="0.25">
      <c r="A6" s="162" t="s">
        <v>8</v>
      </c>
      <c r="B6" s="162"/>
      <c r="C6" s="162"/>
      <c r="D6" s="162"/>
      <c r="E6" s="114" t="s">
        <v>9</v>
      </c>
      <c r="F6" s="39" t="s">
        <v>9</v>
      </c>
      <c r="G6" s="39" t="s">
        <v>9</v>
      </c>
      <c r="H6" s="39" t="s">
        <v>9</v>
      </c>
      <c r="I6" s="114" t="s">
        <v>9</v>
      </c>
      <c r="J6" s="39" t="s">
        <v>9</v>
      </c>
      <c r="K6" s="39" t="s">
        <v>9</v>
      </c>
    </row>
    <row r="7" spans="1:71" ht="58.95" customHeight="1" x14ac:dyDescent="0.25">
      <c r="A7" s="168" t="s">
        <v>68</v>
      </c>
      <c r="B7" s="13" t="s">
        <v>10</v>
      </c>
      <c r="C7" s="168" t="s">
        <v>80</v>
      </c>
      <c r="D7" s="15" t="s">
        <v>14</v>
      </c>
      <c r="E7" s="32"/>
      <c r="F7" s="33"/>
      <c r="G7" s="33"/>
      <c r="H7" s="33"/>
      <c r="I7" s="32"/>
      <c r="J7" s="33"/>
      <c r="K7" s="33"/>
      <c r="BE7" s="62">
        <v>270.04000000000002</v>
      </c>
      <c r="BF7" s="63">
        <v>218.16</v>
      </c>
      <c r="BG7" s="64">
        <v>11.109</v>
      </c>
      <c r="BH7" s="63">
        <v>5.7160000000000002</v>
      </c>
      <c r="BI7" s="63">
        <v>4.0739999999999998</v>
      </c>
      <c r="BJ7" s="64">
        <v>0.45800000000000002</v>
      </c>
      <c r="BK7" s="64">
        <v>24.11</v>
      </c>
      <c r="BL7" s="64">
        <v>6.4139999999999997</v>
      </c>
      <c r="BM7" s="64">
        <f t="shared" ref="BM7" si="0">BG7+BJ7+BK7+BL7</f>
        <v>42.091000000000001</v>
      </c>
      <c r="BN7" s="63">
        <v>271.22000000000003</v>
      </c>
      <c r="BO7" s="65">
        <f>BN7-BH7-BI7-BM7</f>
        <v>219.339</v>
      </c>
      <c r="BP7" s="66">
        <f>BO7-218.16</f>
        <v>1.179000000000002</v>
      </c>
      <c r="BQ7" s="67">
        <f>AZ7-BH7-BI7-BM7</f>
        <v>-51.881</v>
      </c>
      <c r="BR7" s="68">
        <f>BQ7-BO7</f>
        <v>-271.22000000000003</v>
      </c>
      <c r="BS7" s="69">
        <v>291.53656671968002</v>
      </c>
    </row>
    <row r="8" spans="1:71" ht="13.8" x14ac:dyDescent="0.25">
      <c r="A8" s="169"/>
      <c r="B8" s="13" t="s">
        <v>81</v>
      </c>
      <c r="C8" s="169"/>
      <c r="D8" s="15"/>
      <c r="E8" s="32"/>
      <c r="F8" s="33"/>
      <c r="G8" s="33"/>
      <c r="H8" s="33"/>
      <c r="I8" s="32"/>
      <c r="J8" s="33"/>
      <c r="K8" s="33"/>
    </row>
    <row r="9" spans="1:71" ht="13.8" x14ac:dyDescent="0.25">
      <c r="A9" s="169"/>
      <c r="B9" s="13" t="s">
        <v>11</v>
      </c>
      <c r="C9" s="169"/>
      <c r="D9" s="15" t="s">
        <v>14</v>
      </c>
      <c r="E9" s="14">
        <f>F9+G9+H9</f>
        <v>201918.96000000002</v>
      </c>
      <c r="F9" s="26">
        <v>86493.99</v>
      </c>
      <c r="G9" s="26">
        <v>43062.49</v>
      </c>
      <c r="H9" s="14">
        <v>72362.48</v>
      </c>
      <c r="I9" s="14">
        <f>F9-1159.4*1.1</f>
        <v>85218.650000000009</v>
      </c>
      <c r="J9" s="26">
        <v>13397.95</v>
      </c>
      <c r="K9" s="26">
        <v>2656.59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O9" s="8"/>
      <c r="AP9" s="8"/>
      <c r="AQ9" s="8"/>
      <c r="AR9" s="8"/>
      <c r="AS9" s="8"/>
      <c r="AT9" s="8"/>
      <c r="AU9" s="7">
        <v>20321.599999999999</v>
      </c>
      <c r="AV9" s="7">
        <v>10880.37</v>
      </c>
      <c r="AW9" s="7">
        <v>1895.62</v>
      </c>
    </row>
    <row r="10" spans="1:71" ht="13.8" x14ac:dyDescent="0.25">
      <c r="A10" s="169"/>
      <c r="B10" s="13" t="s">
        <v>12</v>
      </c>
      <c r="C10" s="169"/>
      <c r="D10" s="15" t="s">
        <v>14</v>
      </c>
      <c r="E10" s="14">
        <f t="shared" ref="E10:E16" si="1">F10+G10+H10</f>
        <v>266615.52</v>
      </c>
      <c r="F10" s="26">
        <v>96720.13</v>
      </c>
      <c r="G10" s="26">
        <v>53973.17</v>
      </c>
      <c r="H10" s="14">
        <v>115922.22</v>
      </c>
      <c r="I10" s="14">
        <f>F10-1159.4*1.1</f>
        <v>95444.790000000008</v>
      </c>
      <c r="J10" s="26">
        <v>19083.78</v>
      </c>
      <c r="K10" s="26">
        <v>4360.18</v>
      </c>
    </row>
    <row r="11" spans="1:71" ht="13.8" x14ac:dyDescent="0.25">
      <c r="A11" s="169"/>
      <c r="B11" s="13" t="s">
        <v>170</v>
      </c>
      <c r="C11" s="169"/>
      <c r="D11" s="15"/>
      <c r="E11" s="14"/>
      <c r="F11" s="26"/>
      <c r="G11" s="26"/>
      <c r="H11" s="26"/>
      <c r="I11" s="14"/>
      <c r="J11" s="26"/>
      <c r="K11" s="26"/>
    </row>
    <row r="12" spans="1:71" ht="13.8" x14ac:dyDescent="0.25">
      <c r="A12" s="169"/>
      <c r="B12" s="13" t="s">
        <v>11</v>
      </c>
      <c r="C12" s="169"/>
      <c r="D12" s="15" t="s">
        <v>14</v>
      </c>
      <c r="E12" s="14">
        <f t="shared" si="1"/>
        <v>173510.22</v>
      </c>
      <c r="F12" s="26">
        <v>68820.88</v>
      </c>
      <c r="G12" s="26">
        <v>32326.86</v>
      </c>
      <c r="H12" s="14">
        <v>72362.48</v>
      </c>
      <c r="I12" s="14">
        <f>F12-1159.4*1.1</f>
        <v>67545.540000000008</v>
      </c>
      <c r="J12" s="26">
        <v>13397.95</v>
      </c>
      <c r="K12" s="26">
        <v>2656.59</v>
      </c>
    </row>
    <row r="13" spans="1:71" ht="13.8" x14ac:dyDescent="0.25">
      <c r="A13" s="169"/>
      <c r="B13" s="13" t="s">
        <v>12</v>
      </c>
      <c r="C13" s="169"/>
      <c r="D13" s="15" t="s">
        <v>14</v>
      </c>
      <c r="E13" s="14">
        <f t="shared" si="1"/>
        <v>233358.35</v>
      </c>
      <c r="F13" s="26">
        <v>76926.259999999995</v>
      </c>
      <c r="G13" s="26">
        <v>40509.870000000003</v>
      </c>
      <c r="H13" s="14">
        <v>115922.22</v>
      </c>
      <c r="I13" s="14">
        <f>F13-1159.4*1.1</f>
        <v>75650.92</v>
      </c>
      <c r="J13" s="26">
        <v>19083.78</v>
      </c>
      <c r="K13" s="26">
        <v>4360.18</v>
      </c>
    </row>
    <row r="14" spans="1:71" ht="13.8" hidden="1" x14ac:dyDescent="0.25">
      <c r="A14" s="169"/>
      <c r="B14" s="145" t="s">
        <v>83</v>
      </c>
      <c r="C14" s="169"/>
      <c r="D14" s="15"/>
      <c r="E14" s="14"/>
      <c r="F14" s="26"/>
      <c r="G14" s="26"/>
      <c r="H14" s="26"/>
      <c r="I14" s="14"/>
      <c r="J14" s="26"/>
      <c r="K14" s="26"/>
    </row>
    <row r="15" spans="1:71" ht="13.8" hidden="1" x14ac:dyDescent="0.25">
      <c r="A15" s="169"/>
      <c r="B15" s="145" t="s">
        <v>11</v>
      </c>
      <c r="C15" s="169"/>
      <c r="D15" s="15" t="s">
        <v>14</v>
      </c>
      <c r="E15" s="14">
        <f t="shared" si="1"/>
        <v>157288.99</v>
      </c>
      <c r="F15" s="148">
        <v>49746.25</v>
      </c>
      <c r="G15" s="148">
        <v>35180.26</v>
      </c>
      <c r="H15" s="14">
        <v>72362.48</v>
      </c>
      <c r="I15" s="14">
        <f>F15-1159.4*1.1</f>
        <v>48470.91</v>
      </c>
      <c r="J15" s="26">
        <v>13397.95</v>
      </c>
      <c r="K15" s="26">
        <v>2656.59</v>
      </c>
    </row>
    <row r="16" spans="1:71" ht="13.8" hidden="1" x14ac:dyDescent="0.25">
      <c r="A16" s="169"/>
      <c r="B16" s="145" t="s">
        <v>12</v>
      </c>
      <c r="C16" s="170"/>
      <c r="D16" s="15" t="s">
        <v>14</v>
      </c>
      <c r="E16" s="14">
        <f t="shared" si="1"/>
        <v>212350.27</v>
      </c>
      <c r="F16" s="148">
        <v>57040.56</v>
      </c>
      <c r="G16" s="148">
        <v>39387.49</v>
      </c>
      <c r="H16" s="127">
        <v>115922.22</v>
      </c>
      <c r="I16" s="14">
        <f>F16-1159.4*1.1</f>
        <v>55765.22</v>
      </c>
      <c r="J16" s="26">
        <v>19083.78</v>
      </c>
      <c r="K16" s="26">
        <v>4360.18</v>
      </c>
    </row>
    <row r="17" spans="1:40" ht="84.6" customHeight="1" x14ac:dyDescent="0.25">
      <c r="A17" s="169"/>
      <c r="B17" s="13" t="s">
        <v>84</v>
      </c>
      <c r="C17" s="168" t="s">
        <v>85</v>
      </c>
      <c r="D17" s="15" t="s">
        <v>14</v>
      </c>
      <c r="E17" s="31"/>
      <c r="F17" s="30"/>
      <c r="G17" s="30"/>
      <c r="H17" s="30"/>
      <c r="I17" s="31"/>
      <c r="J17" s="30"/>
      <c r="K17" s="30"/>
    </row>
    <row r="18" spans="1:40" ht="13.8" x14ac:dyDescent="0.25">
      <c r="A18" s="122"/>
      <c r="B18" s="13" t="s">
        <v>171</v>
      </c>
      <c r="C18" s="169"/>
      <c r="D18" s="15"/>
      <c r="E18" s="31"/>
      <c r="F18" s="154"/>
      <c r="G18" s="30"/>
      <c r="H18" s="30"/>
      <c r="I18" s="126"/>
      <c r="J18" s="30"/>
      <c r="K18" s="30"/>
    </row>
    <row r="19" spans="1:40" ht="13.8" x14ac:dyDescent="0.25">
      <c r="A19" s="122"/>
      <c r="B19" s="13" t="s">
        <v>11</v>
      </c>
      <c r="C19" s="169"/>
      <c r="D19" s="15" t="s">
        <v>14</v>
      </c>
      <c r="E19" s="14">
        <f t="shared" ref="E19:E23" si="2">F19+G19+H19</f>
        <v>382844.76</v>
      </c>
      <c r="F19" s="26">
        <v>245948.56</v>
      </c>
      <c r="G19" s="26">
        <v>64533.72</v>
      </c>
      <c r="H19" s="14">
        <v>72362.48</v>
      </c>
      <c r="I19" s="14">
        <f>F19-1159.4*1.1</f>
        <v>244673.22</v>
      </c>
      <c r="J19" s="26">
        <v>13397.95</v>
      </c>
      <c r="K19" s="26">
        <v>2656.59</v>
      </c>
      <c r="AL19" s="149"/>
      <c r="AM19" s="150"/>
      <c r="AN19" s="151"/>
    </row>
    <row r="20" spans="1:40" ht="13.8" x14ac:dyDescent="0.25">
      <c r="A20" s="122"/>
      <c r="B20" s="13" t="s">
        <v>172</v>
      </c>
      <c r="C20" s="169"/>
      <c r="D20" s="15"/>
      <c r="E20" s="31"/>
      <c r="F20" s="126"/>
      <c r="G20" s="31"/>
      <c r="H20" s="31"/>
      <c r="I20" s="126"/>
      <c r="J20" s="31"/>
      <c r="K20" s="31"/>
      <c r="AL20" s="152"/>
      <c r="AM20" s="152"/>
      <c r="AN20" s="152"/>
    </row>
    <row r="21" spans="1:40" ht="13.8" x14ac:dyDescent="0.25">
      <c r="A21" s="122"/>
      <c r="B21" s="13" t="s">
        <v>11</v>
      </c>
      <c r="C21" s="169"/>
      <c r="D21" s="15" t="s">
        <v>14</v>
      </c>
      <c r="E21" s="14">
        <f t="shared" ref="E21" si="3">F21+G21+H21</f>
        <v>460116.5</v>
      </c>
      <c r="F21" s="14">
        <v>307116.86</v>
      </c>
      <c r="G21" s="14">
        <v>80637.16</v>
      </c>
      <c r="H21" s="14">
        <v>72362.48</v>
      </c>
      <c r="I21" s="14">
        <f>F21-1159.4*1.1</f>
        <v>305841.51999999996</v>
      </c>
      <c r="J21" s="26">
        <v>13397.95</v>
      </c>
      <c r="K21" s="26">
        <v>2656.59</v>
      </c>
      <c r="AL21" s="149"/>
      <c r="AM21" s="150"/>
      <c r="AN21" s="151"/>
    </row>
    <row r="22" spans="1:40" ht="13.8" hidden="1" x14ac:dyDescent="0.25">
      <c r="A22" s="122"/>
      <c r="B22" s="145" t="s">
        <v>173</v>
      </c>
      <c r="C22" s="169"/>
      <c r="D22" s="15"/>
      <c r="E22" s="14"/>
      <c r="F22" s="26"/>
      <c r="G22" s="26"/>
      <c r="H22" s="26"/>
      <c r="I22" s="14"/>
      <c r="J22" s="26"/>
      <c r="K22" s="26"/>
      <c r="AL22" s="152"/>
      <c r="AM22" s="152"/>
      <c r="AN22" s="152"/>
    </row>
    <row r="23" spans="1:40" ht="13.8" hidden="1" x14ac:dyDescent="0.25">
      <c r="A23" s="122"/>
      <c r="B23" s="145" t="s">
        <v>11</v>
      </c>
      <c r="C23" s="170"/>
      <c r="D23" s="15" t="s">
        <v>14</v>
      </c>
      <c r="E23" s="14">
        <f t="shared" si="2"/>
        <v>369233.31</v>
      </c>
      <c r="F23" s="148">
        <v>209100.19</v>
      </c>
      <c r="G23" s="148">
        <v>87770.64</v>
      </c>
      <c r="H23" s="14">
        <v>72362.48</v>
      </c>
      <c r="I23" s="14">
        <f>F23-1159.4*1.1</f>
        <v>207824.85</v>
      </c>
      <c r="J23" s="26">
        <v>13397.95</v>
      </c>
      <c r="K23" s="26">
        <v>2656.59</v>
      </c>
      <c r="AL23" s="152"/>
      <c r="AM23" s="152"/>
      <c r="AN23" s="152"/>
    </row>
    <row r="24" spans="1:40" ht="72" customHeight="1" x14ac:dyDescent="0.25">
      <c r="A24" s="122"/>
      <c r="B24" s="13" t="s">
        <v>88</v>
      </c>
      <c r="C24" s="168" t="s">
        <v>86</v>
      </c>
      <c r="D24" s="15" t="s">
        <v>14</v>
      </c>
      <c r="E24" s="31"/>
      <c r="F24" s="30"/>
      <c r="G24" s="30"/>
      <c r="H24" s="30"/>
      <c r="I24" s="31"/>
      <c r="J24" s="30"/>
      <c r="K24" s="30"/>
      <c r="AL24" s="152"/>
      <c r="AM24" s="152"/>
      <c r="AN24" s="152"/>
    </row>
    <row r="25" spans="1:40" ht="16.2" customHeight="1" x14ac:dyDescent="0.25">
      <c r="A25" s="122"/>
      <c r="B25" s="13" t="s">
        <v>81</v>
      </c>
      <c r="C25" s="169"/>
      <c r="D25" s="15"/>
      <c r="E25" s="31"/>
      <c r="F25" s="30"/>
      <c r="G25" s="30"/>
      <c r="H25" s="30"/>
      <c r="I25" s="31"/>
      <c r="J25" s="30"/>
      <c r="K25" s="30"/>
      <c r="AL25" s="152"/>
      <c r="AM25" s="152"/>
      <c r="AN25" s="152"/>
    </row>
    <row r="26" spans="1:40" ht="14.4" customHeight="1" x14ac:dyDescent="0.25">
      <c r="A26" s="122"/>
      <c r="B26" s="13" t="s">
        <v>12</v>
      </c>
      <c r="C26" s="169"/>
      <c r="D26" s="15" t="s">
        <v>14</v>
      </c>
      <c r="E26" s="14">
        <f t="shared" ref="E26" si="4">F26+G26+H26</f>
        <v>366112.68999999994</v>
      </c>
      <c r="F26" s="26">
        <v>196216.3</v>
      </c>
      <c r="G26" s="26">
        <v>53973.17</v>
      </c>
      <c r="H26" s="14">
        <v>115923.22</v>
      </c>
      <c r="I26" s="14">
        <f>F26-1159.4*1.1</f>
        <v>194940.96</v>
      </c>
      <c r="J26" s="26">
        <v>19083.78</v>
      </c>
      <c r="K26" s="26">
        <v>4360.18</v>
      </c>
      <c r="AL26" s="153"/>
      <c r="AM26" s="150"/>
      <c r="AN26" s="151"/>
    </row>
    <row r="27" spans="1:40" ht="14.4" customHeight="1" x14ac:dyDescent="0.25">
      <c r="A27" s="122"/>
      <c r="B27" s="13" t="s">
        <v>11</v>
      </c>
      <c r="C27" s="169"/>
      <c r="D27" s="15" t="s">
        <v>14</v>
      </c>
      <c r="E27" s="14"/>
      <c r="F27" s="26"/>
      <c r="G27" s="26"/>
      <c r="H27" s="14"/>
      <c r="I27" s="14"/>
      <c r="J27" s="26"/>
      <c r="K27" s="26"/>
    </row>
    <row r="28" spans="1:40" ht="13.8" x14ac:dyDescent="0.25">
      <c r="A28" s="122"/>
      <c r="B28" s="13" t="s">
        <v>174</v>
      </c>
      <c r="C28" s="169"/>
      <c r="D28" s="15"/>
      <c r="E28" s="31"/>
      <c r="F28" s="34"/>
      <c r="G28" s="30"/>
      <c r="H28" s="30"/>
      <c r="I28" s="126"/>
      <c r="J28" s="30"/>
      <c r="K28" s="30"/>
    </row>
    <row r="29" spans="1:40" ht="13.8" x14ac:dyDescent="0.25">
      <c r="A29" s="122"/>
      <c r="B29" s="13" t="s">
        <v>11</v>
      </c>
      <c r="C29" s="169"/>
      <c r="D29" s="15" t="s">
        <v>14</v>
      </c>
      <c r="E29" s="14">
        <f t="shared" ref="E29:E30" si="5">F29+G29+H29</f>
        <v>237402.39999999997</v>
      </c>
      <c r="F29" s="26">
        <v>132713.06</v>
      </c>
      <c r="G29" s="26">
        <v>32326.86</v>
      </c>
      <c r="H29" s="14">
        <v>72362.48</v>
      </c>
      <c r="I29" s="14">
        <f>F29-1159.4*1.1</f>
        <v>131437.72</v>
      </c>
      <c r="J29" s="26">
        <v>13397.95</v>
      </c>
      <c r="K29" s="26">
        <v>2656.59</v>
      </c>
      <c r="AL29" s="149"/>
      <c r="AM29" s="150"/>
      <c r="AN29" s="151"/>
    </row>
    <row r="30" spans="1:40" ht="13.8" x14ac:dyDescent="0.25">
      <c r="A30" s="122"/>
      <c r="B30" s="13" t="s">
        <v>12</v>
      </c>
      <c r="C30" s="170"/>
      <c r="D30" s="15" t="s">
        <v>14</v>
      </c>
      <c r="E30" s="14">
        <f t="shared" si="5"/>
        <v>304917.53000000003</v>
      </c>
      <c r="F30" s="26">
        <v>148485.44</v>
      </c>
      <c r="G30" s="26">
        <v>40509.870000000003</v>
      </c>
      <c r="H30" s="14">
        <v>115922.22</v>
      </c>
      <c r="I30" s="14">
        <f>F30-1159.4*1.1</f>
        <v>147210.1</v>
      </c>
      <c r="J30" s="26">
        <v>19083.78</v>
      </c>
      <c r="K30" s="26">
        <v>4360.18</v>
      </c>
      <c r="AL30" s="153"/>
      <c r="AM30" s="150"/>
      <c r="AN30" s="151"/>
    </row>
    <row r="31" spans="1:40" ht="69.599999999999994" hidden="1" customHeight="1" x14ac:dyDescent="0.25">
      <c r="A31" s="122"/>
      <c r="B31" s="13" t="s">
        <v>128</v>
      </c>
      <c r="C31" s="168" t="s">
        <v>129</v>
      </c>
      <c r="D31" s="15" t="s">
        <v>15</v>
      </c>
      <c r="E31" s="14"/>
      <c r="F31" s="26"/>
      <c r="G31" s="26"/>
      <c r="H31" s="26"/>
      <c r="I31" s="14"/>
      <c r="J31" s="26"/>
      <c r="K31" s="26"/>
    </row>
    <row r="32" spans="1:40" ht="13.8" hidden="1" x14ac:dyDescent="0.25">
      <c r="A32" s="122"/>
      <c r="B32" s="145" t="s">
        <v>174</v>
      </c>
      <c r="C32" s="169"/>
      <c r="D32" s="15"/>
      <c r="E32" s="31"/>
      <c r="F32" s="34"/>
      <c r="G32" s="30"/>
      <c r="H32" s="30"/>
      <c r="I32" s="126"/>
      <c r="J32" s="30"/>
      <c r="K32" s="30"/>
    </row>
    <row r="33" spans="1:11" ht="15.75" hidden="1" customHeight="1" x14ac:dyDescent="0.25">
      <c r="A33" s="122"/>
      <c r="B33" s="145" t="s">
        <v>11</v>
      </c>
      <c r="C33" s="169"/>
      <c r="D33" s="15" t="s">
        <v>14</v>
      </c>
      <c r="E33" s="14">
        <f t="shared" ref="E33:E34" si="6">F33+G33+H33</f>
        <v>195787.07</v>
      </c>
      <c r="F33" s="146">
        <v>78427.47</v>
      </c>
      <c r="G33" s="146">
        <v>44997.120000000003</v>
      </c>
      <c r="H33" s="14">
        <v>72362.48</v>
      </c>
      <c r="I33" s="14">
        <f>F33-1159.4*1.1</f>
        <v>77152.13</v>
      </c>
      <c r="J33" s="14">
        <v>19083.78</v>
      </c>
      <c r="K33" s="14">
        <v>4360.18</v>
      </c>
    </row>
    <row r="34" spans="1:11" ht="13.5" hidden="1" customHeight="1" x14ac:dyDescent="0.25">
      <c r="A34" s="122"/>
      <c r="B34" s="13" t="s">
        <v>12</v>
      </c>
      <c r="C34" s="170"/>
      <c r="D34" s="15" t="s">
        <v>14</v>
      </c>
      <c r="E34" s="14">
        <f t="shared" si="6"/>
        <v>90105.1</v>
      </c>
      <c r="F34" s="26">
        <v>90105.1</v>
      </c>
      <c r="G34" s="26"/>
      <c r="H34" s="26"/>
      <c r="I34" s="14"/>
      <c r="J34" s="26"/>
      <c r="K34" s="26"/>
    </row>
    <row r="35" spans="1:11" ht="75.599999999999994" hidden="1" customHeight="1" x14ac:dyDescent="0.25">
      <c r="A35" s="122"/>
      <c r="B35" s="13" t="s">
        <v>29</v>
      </c>
      <c r="C35" s="168" t="s">
        <v>87</v>
      </c>
      <c r="D35" s="15" t="s">
        <v>15</v>
      </c>
      <c r="E35" s="14"/>
      <c r="F35" s="26"/>
      <c r="G35" s="26"/>
      <c r="H35" s="26"/>
      <c r="I35" s="14"/>
      <c r="J35" s="26"/>
      <c r="K35" s="26"/>
    </row>
    <row r="36" spans="1:11" ht="15.75" hidden="1" customHeight="1" x14ac:dyDescent="0.25">
      <c r="A36" s="122"/>
      <c r="B36" s="13" t="s">
        <v>83</v>
      </c>
      <c r="C36" s="169"/>
      <c r="D36" s="15" t="s">
        <v>15</v>
      </c>
      <c r="E36" s="14"/>
      <c r="F36" s="26"/>
      <c r="G36" s="26"/>
      <c r="H36" s="26"/>
      <c r="I36" s="14"/>
      <c r="J36" s="26"/>
      <c r="K36" s="26"/>
    </row>
    <row r="37" spans="1:11" ht="13.5" hidden="1" customHeight="1" x14ac:dyDescent="0.25">
      <c r="A37" s="122"/>
      <c r="B37" s="13" t="s">
        <v>12</v>
      </c>
      <c r="C37" s="170"/>
      <c r="D37" s="15" t="s">
        <v>15</v>
      </c>
      <c r="E37" s="14">
        <f t="shared" ref="E37" si="7">F37+G37+H37</f>
        <v>1671444.9600000002</v>
      </c>
      <c r="F37" s="14">
        <v>1007823.68</v>
      </c>
      <c r="G37" s="26">
        <v>583976.5</v>
      </c>
      <c r="H37" s="127">
        <f>72522.95+3177.46+3944.37</f>
        <v>79644.78</v>
      </c>
      <c r="I37" s="14">
        <f>F37-1159.4*1.1</f>
        <v>1006548.3400000001</v>
      </c>
      <c r="J37" s="26">
        <v>19083.78</v>
      </c>
      <c r="K37" s="26">
        <v>4360.18</v>
      </c>
    </row>
    <row r="38" spans="1:11" ht="57.6" customHeight="1" x14ac:dyDescent="0.25">
      <c r="A38" s="122"/>
      <c r="B38" s="13" t="s">
        <v>94</v>
      </c>
      <c r="C38" s="168" t="s">
        <v>93</v>
      </c>
      <c r="D38" s="15" t="s">
        <v>14</v>
      </c>
      <c r="E38" s="14"/>
      <c r="F38" s="26"/>
      <c r="G38" s="26"/>
      <c r="H38" s="26"/>
      <c r="I38" s="40"/>
      <c r="J38" s="26"/>
      <c r="K38" s="26"/>
    </row>
    <row r="39" spans="1:11" ht="13.5" customHeight="1" x14ac:dyDescent="0.25">
      <c r="A39" s="122"/>
      <c r="B39" s="13" t="s">
        <v>165</v>
      </c>
      <c r="C39" s="169"/>
      <c r="D39" s="15"/>
      <c r="E39" s="14"/>
      <c r="F39" s="26"/>
      <c r="G39" s="26"/>
      <c r="H39" s="26"/>
      <c r="I39" s="40"/>
      <c r="J39" s="26"/>
      <c r="K39" s="26"/>
    </row>
    <row r="40" spans="1:11" ht="18.600000000000001" customHeight="1" x14ac:dyDescent="0.25">
      <c r="A40" s="122"/>
      <c r="B40" s="13" t="s">
        <v>11</v>
      </c>
      <c r="C40" s="170"/>
      <c r="D40" s="15" t="s">
        <v>14</v>
      </c>
      <c r="E40" s="14">
        <f t="shared" ref="E40:E48" si="8">F40+G40+H40</f>
        <v>81441.36</v>
      </c>
      <c r="F40" s="26">
        <v>9078.8799999999992</v>
      </c>
      <c r="G40" s="26">
        <v>0</v>
      </c>
      <c r="H40" s="14">
        <v>72362.48</v>
      </c>
      <c r="I40" s="14">
        <f>F40-1159.4*1.1</f>
        <v>7803.5399999999991</v>
      </c>
      <c r="J40" s="26">
        <v>13397.95</v>
      </c>
      <c r="K40" s="26">
        <v>2656.59</v>
      </c>
    </row>
    <row r="41" spans="1:11" ht="13.5" customHeight="1" x14ac:dyDescent="0.25">
      <c r="A41" s="122"/>
      <c r="B41" s="13" t="s">
        <v>166</v>
      </c>
      <c r="C41" s="124"/>
      <c r="D41" s="15"/>
      <c r="E41" s="14"/>
      <c r="F41" s="14"/>
      <c r="G41" s="14"/>
      <c r="H41" s="14"/>
      <c r="I41" s="14"/>
      <c r="J41" s="14"/>
      <c r="K41" s="14"/>
    </row>
    <row r="42" spans="1:11" ht="18.600000000000001" customHeight="1" x14ac:dyDescent="0.25">
      <c r="A42" s="122"/>
      <c r="B42" s="13" t="s">
        <v>11</v>
      </c>
      <c r="C42" s="124"/>
      <c r="D42" s="15" t="s">
        <v>14</v>
      </c>
      <c r="E42" s="14">
        <f t="shared" ref="E42" si="9">F42+G42+H42</f>
        <v>79625.58</v>
      </c>
      <c r="F42" s="14">
        <v>7263.1</v>
      </c>
      <c r="G42" s="14">
        <v>0</v>
      </c>
      <c r="H42" s="14">
        <v>72362.48</v>
      </c>
      <c r="I42" s="14">
        <f>F42-1159.4*1.1</f>
        <v>5987.76</v>
      </c>
      <c r="J42" s="14">
        <v>13397.95</v>
      </c>
      <c r="K42" s="14">
        <v>2656.59</v>
      </c>
    </row>
    <row r="43" spans="1:11" ht="59.4" customHeight="1" x14ac:dyDescent="0.25">
      <c r="A43" s="122"/>
      <c r="B43" s="13" t="s">
        <v>158</v>
      </c>
      <c r="C43" s="168" t="s">
        <v>82</v>
      </c>
      <c r="D43" s="15" t="s">
        <v>14</v>
      </c>
      <c r="E43" s="14"/>
      <c r="F43" s="26"/>
      <c r="G43" s="26"/>
      <c r="H43" s="26"/>
      <c r="I43" s="14"/>
      <c r="J43" s="26"/>
      <c r="K43" s="26"/>
    </row>
    <row r="44" spans="1:11" ht="13.8" x14ac:dyDescent="0.25">
      <c r="A44" s="122"/>
      <c r="B44" s="13" t="s">
        <v>167</v>
      </c>
      <c r="C44" s="170"/>
      <c r="D44" s="15"/>
      <c r="E44" s="14"/>
      <c r="F44" s="26"/>
      <c r="G44" s="26" t="s">
        <v>23</v>
      </c>
      <c r="H44" s="26"/>
      <c r="I44" s="40"/>
      <c r="J44" s="26" t="s">
        <v>23</v>
      </c>
      <c r="K44" s="26" t="s">
        <v>23</v>
      </c>
    </row>
    <row r="45" spans="1:11" ht="13.8" x14ac:dyDescent="0.25">
      <c r="A45" s="122"/>
      <c r="B45" s="13" t="s">
        <v>11</v>
      </c>
      <c r="C45" s="116"/>
      <c r="D45" s="15" t="s">
        <v>14</v>
      </c>
      <c r="E45" s="14">
        <f t="shared" ref="E45" si="10">F45+G45+H45</f>
        <v>77204.549999999988</v>
      </c>
      <c r="F45" s="26">
        <v>4842.07</v>
      </c>
      <c r="G45" s="26">
        <v>0</v>
      </c>
      <c r="H45" s="14">
        <v>72362.48</v>
      </c>
      <c r="I45" s="14">
        <f>F45-1159.4*1.1</f>
        <v>3566.7299999999996</v>
      </c>
      <c r="J45" s="26">
        <v>13397.95</v>
      </c>
      <c r="K45" s="26">
        <v>2656.59</v>
      </c>
    </row>
    <row r="46" spans="1:11" ht="59.4" customHeight="1" x14ac:dyDescent="0.25">
      <c r="A46" s="122"/>
      <c r="B46" s="13" t="s">
        <v>130</v>
      </c>
      <c r="C46" s="168" t="s">
        <v>89</v>
      </c>
      <c r="D46" s="15" t="s">
        <v>14</v>
      </c>
      <c r="E46" s="14"/>
      <c r="F46" s="26"/>
      <c r="G46" s="26"/>
      <c r="H46" s="26"/>
      <c r="I46" s="14"/>
      <c r="J46" s="26"/>
      <c r="K46" s="26"/>
    </row>
    <row r="47" spans="1:11" ht="13.8" x14ac:dyDescent="0.25">
      <c r="A47" s="122"/>
      <c r="B47" s="13" t="s">
        <v>167</v>
      </c>
      <c r="C47" s="170"/>
      <c r="D47" s="15"/>
      <c r="E47" s="14"/>
      <c r="F47" s="26"/>
      <c r="G47" s="26" t="s">
        <v>23</v>
      </c>
      <c r="H47" s="26"/>
      <c r="I47" s="14"/>
      <c r="J47" s="26" t="s">
        <v>23</v>
      </c>
      <c r="K47" s="26" t="s">
        <v>23</v>
      </c>
    </row>
    <row r="48" spans="1:11" ht="13.8" x14ac:dyDescent="0.25">
      <c r="A48" s="122"/>
      <c r="B48" s="13" t="s">
        <v>11</v>
      </c>
      <c r="C48" s="116"/>
      <c r="D48" s="15" t="s">
        <v>14</v>
      </c>
      <c r="E48" s="14">
        <f t="shared" si="8"/>
        <v>77204.549999999988</v>
      </c>
      <c r="F48" s="14">
        <v>4842.07</v>
      </c>
      <c r="G48" s="26">
        <v>0</v>
      </c>
      <c r="H48" s="14">
        <v>72362.48</v>
      </c>
      <c r="I48" s="14">
        <f>F48-1159.4*1.1</f>
        <v>3566.7299999999996</v>
      </c>
      <c r="J48" s="26">
        <v>13397.95</v>
      </c>
      <c r="K48" s="26">
        <v>2656.59</v>
      </c>
    </row>
    <row r="49" spans="1:49" ht="60" customHeight="1" x14ac:dyDescent="0.25">
      <c r="A49" s="122"/>
      <c r="B49" s="13" t="s">
        <v>30</v>
      </c>
      <c r="C49" s="168" t="s">
        <v>89</v>
      </c>
      <c r="D49" s="15" t="s">
        <v>14</v>
      </c>
      <c r="E49" s="14"/>
      <c r="F49" s="26"/>
      <c r="G49" s="26" t="s">
        <v>23</v>
      </c>
      <c r="H49" s="26"/>
      <c r="I49" s="14"/>
      <c r="J49" s="26" t="s">
        <v>23</v>
      </c>
      <c r="K49" s="26" t="s">
        <v>23</v>
      </c>
    </row>
    <row r="50" spans="1:49" ht="13.8" x14ac:dyDescent="0.25">
      <c r="A50" s="122"/>
      <c r="B50" s="13" t="s">
        <v>167</v>
      </c>
      <c r="C50" s="169"/>
      <c r="D50" s="15"/>
      <c r="E50" s="14"/>
      <c r="F50" s="26"/>
      <c r="G50" s="26"/>
      <c r="H50" s="26"/>
      <c r="I50" s="15"/>
      <c r="J50" s="26"/>
      <c r="K50" s="26" t="s">
        <v>23</v>
      </c>
    </row>
    <row r="51" spans="1:49" ht="13.8" x14ac:dyDescent="0.25">
      <c r="A51" s="122"/>
      <c r="B51" s="13" t="s">
        <v>11</v>
      </c>
      <c r="C51" s="169"/>
      <c r="D51" s="15" t="s">
        <v>14</v>
      </c>
      <c r="E51" s="14">
        <f>F51+G51+H51</f>
        <v>65142.6</v>
      </c>
      <c r="F51" s="14">
        <v>3631.54</v>
      </c>
      <c r="G51" s="26">
        <v>0</v>
      </c>
      <c r="H51" s="14">
        <v>61511.06</v>
      </c>
      <c r="I51" s="14">
        <f>F51-1159.4*1.1</f>
        <v>2356.1999999999998</v>
      </c>
      <c r="J51" s="26">
        <v>13397.95</v>
      </c>
      <c r="K51" s="26">
        <v>2656.59</v>
      </c>
    </row>
    <row r="52" spans="1:49" ht="13.8" hidden="1" x14ac:dyDescent="0.25">
      <c r="A52" s="122"/>
      <c r="B52" s="147" t="s">
        <v>175</v>
      </c>
      <c r="C52" s="169"/>
      <c r="D52" s="15"/>
      <c r="E52" s="14"/>
      <c r="F52" s="26"/>
      <c r="G52" s="26"/>
      <c r="H52" s="26"/>
      <c r="I52" s="14"/>
      <c r="J52" s="26"/>
      <c r="K52" s="26"/>
    </row>
    <row r="53" spans="1:49" ht="18.600000000000001" hidden="1" customHeight="1" x14ac:dyDescent="0.25">
      <c r="A53" s="123"/>
      <c r="B53" s="147" t="s">
        <v>11</v>
      </c>
      <c r="C53" s="170"/>
      <c r="D53" s="15" t="s">
        <v>14</v>
      </c>
      <c r="E53" s="14">
        <f>F53+G53+H53</f>
        <v>66986.94</v>
      </c>
      <c r="F53" s="148">
        <v>2317.62</v>
      </c>
      <c r="G53" s="26">
        <v>0</v>
      </c>
      <c r="H53" s="14">
        <v>64669.32</v>
      </c>
      <c r="I53" s="14">
        <f>F53-1159.4*1.1</f>
        <v>1042.2799999999997</v>
      </c>
      <c r="J53" s="26">
        <v>13397.95</v>
      </c>
      <c r="K53" s="26">
        <v>2656.59</v>
      </c>
    </row>
    <row r="54" spans="1:49" ht="13.8" x14ac:dyDescent="0.25">
      <c r="A54" s="122"/>
      <c r="B54" s="13" t="s">
        <v>143</v>
      </c>
      <c r="C54" s="125"/>
      <c r="D54" s="15"/>
      <c r="E54" s="14"/>
      <c r="F54" s="14"/>
      <c r="G54" s="14"/>
      <c r="H54" s="14"/>
      <c r="I54" s="49"/>
      <c r="J54" s="14"/>
      <c r="K54" s="14" t="s">
        <v>23</v>
      </c>
    </row>
    <row r="55" spans="1:49" ht="13.8" x14ac:dyDescent="0.25">
      <c r="A55" s="122"/>
      <c r="B55" s="13" t="s">
        <v>11</v>
      </c>
      <c r="C55" s="125"/>
      <c r="D55" s="15" t="s">
        <v>14</v>
      </c>
      <c r="E55" s="14">
        <f>F55+G55+H55</f>
        <v>66353.13</v>
      </c>
      <c r="F55" s="14">
        <v>4842.07</v>
      </c>
      <c r="G55" s="14">
        <v>0</v>
      </c>
      <c r="H55" s="14">
        <v>61511.06</v>
      </c>
      <c r="I55" s="14">
        <f>F55-1159.4*1.1</f>
        <v>3566.7299999999996</v>
      </c>
      <c r="J55" s="14">
        <v>13397.95</v>
      </c>
      <c r="K55" s="14">
        <v>2656.59</v>
      </c>
    </row>
    <row r="56" spans="1:49" ht="72" customHeight="1" x14ac:dyDescent="0.25">
      <c r="A56" s="13" t="s">
        <v>65</v>
      </c>
      <c r="B56" s="13"/>
      <c r="C56" s="13"/>
      <c r="D56" s="15" t="s">
        <v>14</v>
      </c>
      <c r="E56" s="14">
        <f>H56</f>
        <v>61511.06</v>
      </c>
      <c r="F56" s="26" t="s">
        <v>13</v>
      </c>
      <c r="G56" s="26" t="s">
        <v>13</v>
      </c>
      <c r="H56" s="14">
        <v>61511.06</v>
      </c>
      <c r="I56" s="14" t="s">
        <v>13</v>
      </c>
      <c r="J56" s="26">
        <v>0</v>
      </c>
      <c r="K56" s="26" t="s">
        <v>13</v>
      </c>
      <c r="AU56" s="21">
        <f>12750.1+9670.65</f>
        <v>22420.75</v>
      </c>
    </row>
    <row r="57" spans="1:49" ht="25.2" customHeight="1" x14ac:dyDescent="0.25">
      <c r="A57" s="164" t="s">
        <v>66</v>
      </c>
      <c r="B57" s="171" t="s">
        <v>17</v>
      </c>
      <c r="C57" s="117"/>
      <c r="D57" s="4" t="s">
        <v>18</v>
      </c>
      <c r="E57" s="11">
        <f>SUM(F57:H57)</f>
        <v>80573.570000000007</v>
      </c>
      <c r="F57" s="14">
        <f>36390.31+2198.86</f>
        <v>38589.17</v>
      </c>
      <c r="G57" s="14">
        <v>12790.33</v>
      </c>
      <c r="H57" s="14">
        <v>29194.07</v>
      </c>
      <c r="I57" s="14">
        <f>36390.31-1908.73+G57-165.7</f>
        <v>47106.21</v>
      </c>
      <c r="J57" s="26">
        <v>2683.96</v>
      </c>
      <c r="K57" s="26">
        <v>126.92</v>
      </c>
      <c r="L57" s="43" t="s">
        <v>70</v>
      </c>
      <c r="M57" s="43"/>
      <c r="N57" s="43" t="s">
        <v>147</v>
      </c>
      <c r="O57" s="47" t="s">
        <v>139</v>
      </c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I57" s="47"/>
      <c r="AJ57" s="47"/>
      <c r="AK57" s="47"/>
      <c r="AL57" s="142"/>
      <c r="AM57" s="142"/>
      <c r="AN57" s="143"/>
      <c r="AO57" s="112"/>
      <c r="AP57" s="112"/>
      <c r="AQ57" s="112"/>
      <c r="AR57" s="112"/>
      <c r="AS57" s="112"/>
      <c r="AT57" s="112"/>
      <c r="AU57" s="7">
        <v>7790.73</v>
      </c>
      <c r="AV57" s="7">
        <v>2567.5</v>
      </c>
      <c r="AW57" s="7">
        <v>247.23</v>
      </c>
    </row>
    <row r="58" spans="1:49" ht="25.95" customHeight="1" x14ac:dyDescent="0.25">
      <c r="A58" s="165"/>
      <c r="B58" s="172"/>
      <c r="C58" s="118"/>
      <c r="D58" s="4" t="s">
        <v>18</v>
      </c>
      <c r="E58" s="11">
        <f>SUM(F58:H58)</f>
        <v>81620.209999999992</v>
      </c>
      <c r="F58" s="14">
        <f t="shared" ref="F58:F61" si="11">36390.31+2198.86</f>
        <v>38589.17</v>
      </c>
      <c r="G58" s="14">
        <v>13836.97</v>
      </c>
      <c r="H58" s="14">
        <v>29194.07</v>
      </c>
      <c r="I58" s="14">
        <f>36390.31-1908.73+G58-165.7</f>
        <v>48152.85</v>
      </c>
      <c r="J58" s="26">
        <v>2683.96</v>
      </c>
      <c r="K58" s="26">
        <v>126.92</v>
      </c>
      <c r="L58" s="43" t="s">
        <v>71</v>
      </c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N58" s="143"/>
      <c r="AO58" s="43"/>
      <c r="AP58" s="43"/>
      <c r="AQ58" s="43"/>
      <c r="AR58" s="43"/>
      <c r="AS58" s="43"/>
      <c r="AT58" s="43"/>
    </row>
    <row r="59" spans="1:49" ht="27" customHeight="1" x14ac:dyDescent="0.25">
      <c r="A59" s="165"/>
      <c r="B59" s="172"/>
      <c r="C59" s="118"/>
      <c r="D59" s="4" t="s">
        <v>18</v>
      </c>
      <c r="E59" s="11">
        <f>SUM(F59:H59)</f>
        <v>81422.03</v>
      </c>
      <c r="F59" s="14">
        <f t="shared" si="11"/>
        <v>38589.17</v>
      </c>
      <c r="G59" s="14">
        <v>13638.79</v>
      </c>
      <c r="H59" s="14">
        <v>29194.07</v>
      </c>
      <c r="I59" s="14">
        <f>36390.31-1908.73+G59-165.7</f>
        <v>47954.67</v>
      </c>
      <c r="J59" s="26">
        <v>2683.96</v>
      </c>
      <c r="K59" s="26">
        <v>126.92</v>
      </c>
      <c r="L59" s="43" t="s">
        <v>72</v>
      </c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N59" s="143"/>
      <c r="AO59" s="43"/>
      <c r="AP59" s="43"/>
      <c r="AQ59" s="43"/>
      <c r="AR59" s="43"/>
      <c r="AS59" s="43"/>
      <c r="AT59" s="43"/>
    </row>
    <row r="60" spans="1:49" ht="25.2" customHeight="1" x14ac:dyDescent="0.25">
      <c r="A60" s="165"/>
      <c r="B60" s="172"/>
      <c r="C60" s="118"/>
      <c r="D60" s="4" t="s">
        <v>18</v>
      </c>
      <c r="E60" s="11">
        <f>SUM(F60:H60)</f>
        <v>82051.01999999999</v>
      </c>
      <c r="F60" s="14">
        <f t="shared" si="11"/>
        <v>38589.17</v>
      </c>
      <c r="G60" s="14">
        <v>14267.78</v>
      </c>
      <c r="H60" s="14">
        <v>29194.07</v>
      </c>
      <c r="I60" s="14">
        <f>36390.31-1908.73+G60-165.7</f>
        <v>48583.659999999996</v>
      </c>
      <c r="J60" s="26">
        <v>2683.96</v>
      </c>
      <c r="K60" s="26">
        <v>126.92</v>
      </c>
      <c r="L60" s="43" t="s">
        <v>73</v>
      </c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O60" s="43"/>
      <c r="AP60" s="43"/>
      <c r="AQ60" s="43"/>
      <c r="AR60" s="43"/>
      <c r="AS60" s="43"/>
      <c r="AT60" s="43"/>
    </row>
    <row r="61" spans="1:49" ht="23.4" customHeight="1" x14ac:dyDescent="0.25">
      <c r="A61" s="165"/>
      <c r="B61" s="173"/>
      <c r="C61" s="119"/>
      <c r="D61" s="4" t="s">
        <v>18</v>
      </c>
      <c r="E61" s="11">
        <f>SUM(F61:H61)</f>
        <v>81778.579999999987</v>
      </c>
      <c r="F61" s="14">
        <f t="shared" si="11"/>
        <v>38589.17</v>
      </c>
      <c r="G61" s="14">
        <v>13995.34</v>
      </c>
      <c r="H61" s="14">
        <v>29194.07</v>
      </c>
      <c r="I61" s="14">
        <f>36390.31-1908.73+G61-165.7</f>
        <v>48311.22</v>
      </c>
      <c r="J61" s="26">
        <v>2683.96</v>
      </c>
      <c r="K61" s="26">
        <v>126.92</v>
      </c>
      <c r="L61" s="43" t="s">
        <v>74</v>
      </c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O61" s="43"/>
      <c r="AP61" s="43"/>
      <c r="AQ61" s="43"/>
      <c r="AR61" s="43"/>
      <c r="AS61" s="43"/>
      <c r="AT61" s="43"/>
    </row>
    <row r="62" spans="1:49" ht="89.4" customHeight="1" x14ac:dyDescent="0.25">
      <c r="A62" s="165"/>
      <c r="B62" s="111" t="s">
        <v>137</v>
      </c>
      <c r="C62" s="119"/>
      <c r="D62" s="4" t="s">
        <v>135</v>
      </c>
      <c r="E62" s="11">
        <f t="shared" ref="E62:E64" si="12">SUM(F62:H62)</f>
        <v>263700.28000000003</v>
      </c>
      <c r="F62" s="14"/>
      <c r="G62" s="14">
        <v>263700.28000000003</v>
      </c>
      <c r="H62" s="26"/>
      <c r="I62" s="14">
        <f>G62</f>
        <v>263700.28000000003</v>
      </c>
      <c r="J62" s="26"/>
      <c r="K62" s="26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O62" s="43"/>
      <c r="AP62" s="43"/>
      <c r="AQ62" s="43"/>
      <c r="AR62" s="43"/>
      <c r="AS62" s="43"/>
      <c r="AT62" s="43"/>
    </row>
    <row r="63" spans="1:49" ht="73.2" customHeight="1" x14ac:dyDescent="0.25">
      <c r="A63" s="165"/>
      <c r="B63" s="111" t="s">
        <v>141</v>
      </c>
      <c r="C63" s="119"/>
      <c r="D63" s="4" t="s">
        <v>135</v>
      </c>
      <c r="E63" s="11">
        <v>294556.87</v>
      </c>
      <c r="F63" s="14"/>
      <c r="G63" s="14">
        <v>316440.09999999998</v>
      </c>
      <c r="H63" s="26"/>
      <c r="I63" s="14">
        <f>G63</f>
        <v>316440.09999999998</v>
      </c>
      <c r="J63" s="26"/>
      <c r="K63" s="26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O63" s="43"/>
      <c r="AP63" s="43"/>
      <c r="AQ63" s="43"/>
      <c r="AR63" s="43"/>
      <c r="AS63" s="43"/>
      <c r="AT63" s="43"/>
    </row>
    <row r="64" spans="1:49" ht="86.4" customHeight="1" x14ac:dyDescent="0.25">
      <c r="A64" s="165"/>
      <c r="B64" s="111" t="s">
        <v>138</v>
      </c>
      <c r="C64" s="119"/>
      <c r="D64" s="4" t="s">
        <v>135</v>
      </c>
      <c r="E64" s="11">
        <f t="shared" si="12"/>
        <v>354516.06</v>
      </c>
      <c r="F64" s="14"/>
      <c r="G64" s="14">
        <v>354516.06</v>
      </c>
      <c r="H64" s="26"/>
      <c r="I64" s="14">
        <f>G64</f>
        <v>354516.06</v>
      </c>
      <c r="J64" s="26"/>
      <c r="K64" s="26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O64" s="43"/>
      <c r="AP64" s="43"/>
      <c r="AQ64" s="43"/>
      <c r="AR64" s="43"/>
      <c r="AS64" s="43"/>
      <c r="AT64" s="43"/>
    </row>
    <row r="65" spans="1:55" ht="75.75" customHeight="1" x14ac:dyDescent="0.25">
      <c r="A65" s="165"/>
      <c r="B65" s="111" t="s">
        <v>159</v>
      </c>
      <c r="C65" s="131"/>
      <c r="D65" s="4"/>
      <c r="E65" s="11">
        <f>G65</f>
        <v>354411.02</v>
      </c>
      <c r="F65" s="14"/>
      <c r="G65" s="14">
        <v>354411.02</v>
      </c>
      <c r="H65" s="26"/>
      <c r="I65" s="14">
        <f>G65</f>
        <v>354411.02</v>
      </c>
      <c r="J65" s="26"/>
      <c r="K65" s="26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O65" s="43"/>
      <c r="AP65" s="43"/>
      <c r="AQ65" s="43"/>
      <c r="AR65" s="43"/>
      <c r="AS65" s="43"/>
      <c r="AT65" s="43"/>
    </row>
    <row r="66" spans="1:55" ht="114.6" customHeight="1" x14ac:dyDescent="0.25">
      <c r="A66" s="165"/>
      <c r="B66" s="12" t="s">
        <v>19</v>
      </c>
      <c r="C66" s="12"/>
      <c r="D66" s="4" t="s">
        <v>20</v>
      </c>
      <c r="E66" s="14" t="s">
        <v>192</v>
      </c>
      <c r="F66" s="14" t="s">
        <v>193</v>
      </c>
      <c r="G66" s="14" t="s">
        <v>194</v>
      </c>
      <c r="H66" s="14" t="s">
        <v>190</v>
      </c>
      <c r="I66" s="14" t="s">
        <v>177</v>
      </c>
      <c r="J66" s="26" t="s">
        <v>148</v>
      </c>
      <c r="K66" s="26" t="s">
        <v>149</v>
      </c>
      <c r="L66" s="43" t="s">
        <v>75</v>
      </c>
      <c r="M66" s="43"/>
      <c r="N66" s="43" t="s">
        <v>146</v>
      </c>
      <c r="O66" s="43" t="s">
        <v>147</v>
      </c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O66" s="43"/>
      <c r="AP66" s="43"/>
      <c r="AQ66" s="43"/>
      <c r="AR66" s="43"/>
      <c r="AS66" s="43"/>
      <c r="AT66" s="43"/>
      <c r="AU66" s="20">
        <v>1351.63</v>
      </c>
      <c r="AV66" s="20">
        <v>4001.99</v>
      </c>
      <c r="AW66" s="7">
        <v>20869.5</v>
      </c>
      <c r="AX66" s="27">
        <f>AU66+AV66+AW66</f>
        <v>26223.119999999999</v>
      </c>
      <c r="AZ66" s="7">
        <f>4001.99*2.411294</f>
        <v>9649.9744750599984</v>
      </c>
      <c r="BA66" s="7">
        <v>1329.32</v>
      </c>
      <c r="BB66" s="7">
        <v>11462.74</v>
      </c>
      <c r="BC66" s="9">
        <f>AZ66+BA66+BB66</f>
        <v>22442.034475059998</v>
      </c>
    </row>
    <row r="67" spans="1:55" ht="124.2" customHeight="1" x14ac:dyDescent="0.25">
      <c r="A67" s="165"/>
      <c r="B67" s="12" t="s">
        <v>21</v>
      </c>
      <c r="C67" s="12"/>
      <c r="D67" s="4" t="s">
        <v>20</v>
      </c>
      <c r="E67" s="26" t="s">
        <v>195</v>
      </c>
      <c r="F67" s="14" t="s">
        <v>178</v>
      </c>
      <c r="G67" s="14" t="s">
        <v>176</v>
      </c>
      <c r="H67" s="14" t="s">
        <v>190</v>
      </c>
      <c r="I67" s="14" t="s">
        <v>179</v>
      </c>
      <c r="J67" s="26" t="s">
        <v>148</v>
      </c>
      <c r="K67" s="26" t="s">
        <v>149</v>
      </c>
      <c r="AY67" s="28"/>
    </row>
    <row r="68" spans="1:55" ht="68.400000000000006" customHeight="1" x14ac:dyDescent="0.3">
      <c r="A68" s="165"/>
      <c r="B68" s="5" t="s">
        <v>32</v>
      </c>
      <c r="C68" s="5"/>
      <c r="D68" s="6" t="s">
        <v>18</v>
      </c>
      <c r="E68" s="31" t="s">
        <v>23</v>
      </c>
      <c r="F68" s="31" t="s">
        <v>23</v>
      </c>
      <c r="G68" s="31" t="s">
        <v>23</v>
      </c>
      <c r="H68" s="30" t="s">
        <v>23</v>
      </c>
      <c r="I68" s="31" t="s">
        <v>23</v>
      </c>
      <c r="J68" s="36" t="s">
        <v>23</v>
      </c>
      <c r="K68" s="36" t="s">
        <v>23</v>
      </c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44"/>
      <c r="AM68" s="144"/>
      <c r="AN68" s="144"/>
      <c r="AO68" s="16"/>
      <c r="AP68" s="16"/>
      <c r="AQ68" s="16"/>
      <c r="AR68" s="16"/>
      <c r="AS68" s="16"/>
      <c r="AT68" s="16"/>
    </row>
    <row r="69" spans="1:55" ht="13.8" x14ac:dyDescent="0.25">
      <c r="A69" s="165"/>
      <c r="B69" s="5" t="s">
        <v>43</v>
      </c>
      <c r="C69" s="5"/>
      <c r="D69" s="6" t="s">
        <v>18</v>
      </c>
      <c r="E69" s="14">
        <f>F69</f>
        <v>164394.18</v>
      </c>
      <c r="F69" s="14">
        <v>164394.18</v>
      </c>
      <c r="G69" s="14" t="s">
        <v>23</v>
      </c>
      <c r="H69" s="26" t="s">
        <v>23</v>
      </c>
      <c r="I69" s="14">
        <f>F69-1677.86</f>
        <v>162716.32</v>
      </c>
      <c r="J69" s="41" t="s">
        <v>23</v>
      </c>
      <c r="K69" s="41" t="s">
        <v>23</v>
      </c>
    </row>
    <row r="70" spans="1:55" ht="13.8" x14ac:dyDescent="0.25">
      <c r="A70" s="165"/>
      <c r="B70" s="5" t="s">
        <v>44</v>
      </c>
      <c r="C70" s="5"/>
      <c r="D70" s="6" t="s">
        <v>18</v>
      </c>
      <c r="E70" s="14">
        <f t="shared" ref="E70:E88" si="13">F70</f>
        <v>183920.14</v>
      </c>
      <c r="F70" s="14">
        <v>183920.14</v>
      </c>
      <c r="G70" s="14" t="s">
        <v>23</v>
      </c>
      <c r="H70" s="26" t="s">
        <v>23</v>
      </c>
      <c r="I70" s="14">
        <f t="shared" ref="I70:I88" si="14">F70-1677.86</f>
        <v>182242.28000000003</v>
      </c>
      <c r="J70" s="41" t="s">
        <v>23</v>
      </c>
      <c r="K70" s="41" t="s">
        <v>23</v>
      </c>
    </row>
    <row r="71" spans="1:55" ht="13.8" x14ac:dyDescent="0.25">
      <c r="A71" s="165"/>
      <c r="B71" s="5" t="s">
        <v>45</v>
      </c>
      <c r="C71" s="5"/>
      <c r="D71" s="6" t="s">
        <v>18</v>
      </c>
      <c r="E71" s="14">
        <f t="shared" si="13"/>
        <v>148440.13</v>
      </c>
      <c r="F71" s="14">
        <v>148440.13</v>
      </c>
      <c r="G71" s="14" t="s">
        <v>23</v>
      </c>
      <c r="H71" s="26" t="s">
        <v>23</v>
      </c>
      <c r="I71" s="14">
        <f t="shared" si="14"/>
        <v>146762.27000000002</v>
      </c>
      <c r="J71" s="41" t="s">
        <v>23</v>
      </c>
      <c r="K71" s="41" t="s">
        <v>23</v>
      </c>
    </row>
    <row r="72" spans="1:55" ht="13.8" x14ac:dyDescent="0.25">
      <c r="A72" s="165"/>
      <c r="B72" s="5" t="s">
        <v>46</v>
      </c>
      <c r="C72" s="5"/>
      <c r="D72" s="6" t="s">
        <v>18</v>
      </c>
      <c r="E72" s="14">
        <f t="shared" si="13"/>
        <v>166051.6</v>
      </c>
      <c r="F72" s="14">
        <v>166051.6</v>
      </c>
      <c r="G72" s="14" t="s">
        <v>23</v>
      </c>
      <c r="H72" s="26" t="s">
        <v>23</v>
      </c>
      <c r="I72" s="14">
        <f t="shared" si="14"/>
        <v>164373.74000000002</v>
      </c>
      <c r="J72" s="41" t="s">
        <v>23</v>
      </c>
      <c r="K72" s="41" t="s">
        <v>23</v>
      </c>
    </row>
    <row r="73" spans="1:55" ht="13.8" x14ac:dyDescent="0.25">
      <c r="A73" s="165"/>
      <c r="B73" s="5" t="s">
        <v>51</v>
      </c>
      <c r="C73" s="5"/>
      <c r="D73" s="6" t="s">
        <v>18</v>
      </c>
      <c r="E73" s="14">
        <f t="shared" si="13"/>
        <v>164394.18</v>
      </c>
      <c r="F73" s="14">
        <v>164394.18</v>
      </c>
      <c r="G73" s="14" t="s">
        <v>23</v>
      </c>
      <c r="H73" s="26" t="s">
        <v>23</v>
      </c>
      <c r="I73" s="14">
        <f t="shared" si="14"/>
        <v>162716.32</v>
      </c>
      <c r="J73" s="41" t="s">
        <v>23</v>
      </c>
      <c r="K73" s="41" t="s">
        <v>23</v>
      </c>
    </row>
    <row r="74" spans="1:55" ht="13.8" x14ac:dyDescent="0.25">
      <c r="A74" s="165"/>
      <c r="B74" s="5" t="s">
        <v>52</v>
      </c>
      <c r="C74" s="5"/>
      <c r="D74" s="6" t="s">
        <v>18</v>
      </c>
      <c r="E74" s="14">
        <f t="shared" si="13"/>
        <v>183920.14</v>
      </c>
      <c r="F74" s="14">
        <v>183920.14</v>
      </c>
      <c r="G74" s="14" t="s">
        <v>23</v>
      </c>
      <c r="H74" s="26" t="s">
        <v>23</v>
      </c>
      <c r="I74" s="14">
        <f t="shared" si="14"/>
        <v>182242.28000000003</v>
      </c>
      <c r="J74" s="41" t="s">
        <v>23</v>
      </c>
      <c r="K74" s="41" t="s">
        <v>23</v>
      </c>
    </row>
    <row r="75" spans="1:55" ht="13.8" x14ac:dyDescent="0.25">
      <c r="A75" s="165"/>
      <c r="B75" s="5" t="s">
        <v>36</v>
      </c>
      <c r="C75" s="5"/>
      <c r="D75" s="6" t="s">
        <v>18</v>
      </c>
      <c r="E75" s="14">
        <f t="shared" si="13"/>
        <v>196302.28</v>
      </c>
      <c r="F75" s="14">
        <v>196302.28</v>
      </c>
      <c r="G75" s="14" t="s">
        <v>23</v>
      </c>
      <c r="H75" s="26" t="s">
        <v>23</v>
      </c>
      <c r="I75" s="14">
        <f t="shared" si="14"/>
        <v>194624.42</v>
      </c>
      <c r="J75" s="41" t="s">
        <v>23</v>
      </c>
      <c r="K75" s="41" t="s">
        <v>23</v>
      </c>
    </row>
    <row r="76" spans="1:55" ht="13.8" x14ac:dyDescent="0.25">
      <c r="A76" s="165"/>
      <c r="B76" s="5" t="s">
        <v>37</v>
      </c>
      <c r="C76" s="5"/>
      <c r="D76" s="6" t="s">
        <v>18</v>
      </c>
      <c r="E76" s="14">
        <f t="shared" si="13"/>
        <v>219657.2</v>
      </c>
      <c r="F76" s="14">
        <v>219657.2</v>
      </c>
      <c r="G76" s="14" t="s">
        <v>23</v>
      </c>
      <c r="H76" s="26" t="s">
        <v>23</v>
      </c>
      <c r="I76" s="14">
        <f t="shared" si="14"/>
        <v>217979.34000000003</v>
      </c>
      <c r="J76" s="41" t="s">
        <v>23</v>
      </c>
      <c r="K76" s="41" t="s">
        <v>23</v>
      </c>
    </row>
    <row r="77" spans="1:55" ht="13.8" x14ac:dyDescent="0.25">
      <c r="A77" s="165"/>
      <c r="B77" s="5" t="s">
        <v>53</v>
      </c>
      <c r="C77" s="5"/>
      <c r="D77" s="6" t="s">
        <v>18</v>
      </c>
      <c r="E77" s="14">
        <f t="shared" si="13"/>
        <v>162574.21</v>
      </c>
      <c r="F77" s="14">
        <v>162574.21</v>
      </c>
      <c r="G77" s="14" t="s">
        <v>23</v>
      </c>
      <c r="H77" s="26" t="s">
        <v>23</v>
      </c>
      <c r="I77" s="14">
        <f t="shared" si="14"/>
        <v>160896.35</v>
      </c>
      <c r="J77" s="41" t="s">
        <v>23</v>
      </c>
      <c r="K77" s="41" t="s">
        <v>23</v>
      </c>
    </row>
    <row r="78" spans="1:55" ht="13.8" x14ac:dyDescent="0.25">
      <c r="A78" s="165"/>
      <c r="B78" s="5" t="s">
        <v>54</v>
      </c>
      <c r="C78" s="5"/>
      <c r="D78" s="6" t="s">
        <v>18</v>
      </c>
      <c r="E78" s="14">
        <f t="shared" si="13"/>
        <v>181881.77</v>
      </c>
      <c r="F78" s="14">
        <v>181881.77</v>
      </c>
      <c r="G78" s="14" t="s">
        <v>23</v>
      </c>
      <c r="H78" s="26" t="s">
        <v>23</v>
      </c>
      <c r="I78" s="14">
        <f t="shared" si="14"/>
        <v>180203.91</v>
      </c>
      <c r="J78" s="41" t="s">
        <v>23</v>
      </c>
      <c r="K78" s="41" t="s">
        <v>23</v>
      </c>
    </row>
    <row r="79" spans="1:55" ht="13.8" x14ac:dyDescent="0.25">
      <c r="A79" s="165"/>
      <c r="B79" s="5" t="s">
        <v>47</v>
      </c>
      <c r="C79" s="5"/>
      <c r="D79" s="6" t="s">
        <v>18</v>
      </c>
      <c r="E79" s="14">
        <f t="shared" si="13"/>
        <v>180348.22</v>
      </c>
      <c r="F79" s="14">
        <v>180348.22</v>
      </c>
      <c r="G79" s="14" t="s">
        <v>23</v>
      </c>
      <c r="H79" s="26" t="s">
        <v>23</v>
      </c>
      <c r="I79" s="14">
        <f t="shared" si="14"/>
        <v>178670.36000000002</v>
      </c>
      <c r="J79" s="41" t="s">
        <v>23</v>
      </c>
      <c r="K79" s="41" t="s">
        <v>23</v>
      </c>
    </row>
    <row r="80" spans="1:55" ht="13.8" x14ac:dyDescent="0.25">
      <c r="A80" s="165"/>
      <c r="B80" s="5" t="s">
        <v>48</v>
      </c>
      <c r="C80" s="5"/>
      <c r="D80" s="6" t="s">
        <v>18</v>
      </c>
      <c r="E80" s="14">
        <f t="shared" si="13"/>
        <v>201788.66</v>
      </c>
      <c r="F80" s="14">
        <v>201788.66</v>
      </c>
      <c r="G80" s="14" t="s">
        <v>23</v>
      </c>
      <c r="H80" s="26" t="s">
        <v>23</v>
      </c>
      <c r="I80" s="14">
        <f t="shared" si="14"/>
        <v>200110.80000000002</v>
      </c>
      <c r="J80" s="41" t="s">
        <v>23</v>
      </c>
      <c r="K80" s="41" t="s">
        <v>23</v>
      </c>
    </row>
    <row r="81" spans="1:46" ht="13.8" x14ac:dyDescent="0.25">
      <c r="A81" s="165"/>
      <c r="B81" s="5" t="s">
        <v>55</v>
      </c>
      <c r="C81" s="5"/>
      <c r="D81" s="6" t="s">
        <v>18</v>
      </c>
      <c r="E81" s="14">
        <f t="shared" si="13"/>
        <v>204279.3</v>
      </c>
      <c r="F81" s="14">
        <v>204279.3</v>
      </c>
      <c r="G81" s="14" t="s">
        <v>23</v>
      </c>
      <c r="H81" s="26" t="s">
        <v>23</v>
      </c>
      <c r="I81" s="14">
        <f t="shared" si="14"/>
        <v>202601.44</v>
      </c>
      <c r="J81" s="41" t="s">
        <v>23</v>
      </c>
      <c r="K81" s="41" t="s">
        <v>23</v>
      </c>
    </row>
    <row r="82" spans="1:46" ht="13.8" x14ac:dyDescent="0.25">
      <c r="A82" s="165"/>
      <c r="B82" s="5" t="s">
        <v>56</v>
      </c>
      <c r="C82" s="5"/>
      <c r="D82" s="6" t="s">
        <v>18</v>
      </c>
      <c r="E82" s="14">
        <f t="shared" si="13"/>
        <v>228591.46</v>
      </c>
      <c r="F82" s="14">
        <v>228591.46</v>
      </c>
      <c r="G82" s="14" t="s">
        <v>23</v>
      </c>
      <c r="H82" s="26" t="s">
        <v>23</v>
      </c>
      <c r="I82" s="14">
        <f t="shared" si="14"/>
        <v>226913.6</v>
      </c>
      <c r="J82" s="41" t="s">
        <v>23</v>
      </c>
      <c r="K82" s="41" t="s">
        <v>23</v>
      </c>
    </row>
    <row r="83" spans="1:46" ht="13.8" x14ac:dyDescent="0.25">
      <c r="A83" s="165"/>
      <c r="B83" s="5" t="s">
        <v>49</v>
      </c>
      <c r="C83" s="5"/>
      <c r="D83" s="6" t="s">
        <v>18</v>
      </c>
      <c r="E83" s="14">
        <f t="shared" si="13"/>
        <v>202178.64</v>
      </c>
      <c r="F83" s="14">
        <v>202178.64</v>
      </c>
      <c r="G83" s="14" t="s">
        <v>23</v>
      </c>
      <c r="H83" s="26" t="s">
        <v>23</v>
      </c>
      <c r="I83" s="14">
        <f t="shared" si="14"/>
        <v>200500.78000000003</v>
      </c>
      <c r="J83" s="41" t="s">
        <v>23</v>
      </c>
      <c r="K83" s="41" t="s">
        <v>23</v>
      </c>
    </row>
    <row r="84" spans="1:46" ht="13.8" x14ac:dyDescent="0.25">
      <c r="A84" s="165"/>
      <c r="B84" s="5" t="s">
        <v>50</v>
      </c>
      <c r="C84" s="5"/>
      <c r="D84" s="6" t="s">
        <v>18</v>
      </c>
      <c r="E84" s="14">
        <f t="shared" si="13"/>
        <v>226238.73</v>
      </c>
      <c r="F84" s="14">
        <v>226238.73</v>
      </c>
      <c r="G84" s="14" t="s">
        <v>23</v>
      </c>
      <c r="H84" s="26" t="s">
        <v>23</v>
      </c>
      <c r="I84" s="14">
        <f t="shared" si="14"/>
        <v>224560.87000000002</v>
      </c>
      <c r="J84" s="41" t="s">
        <v>23</v>
      </c>
      <c r="K84" s="41" t="s">
        <v>23</v>
      </c>
    </row>
    <row r="85" spans="1:46" ht="13.8" x14ac:dyDescent="0.25">
      <c r="A85" s="165"/>
      <c r="B85" s="5" t="s">
        <v>90</v>
      </c>
      <c r="C85" s="5"/>
      <c r="D85" s="6" t="s">
        <v>18</v>
      </c>
      <c r="E85" s="14">
        <f t="shared" si="13"/>
        <v>343079.52</v>
      </c>
      <c r="F85" s="14">
        <v>343079.52</v>
      </c>
      <c r="G85" s="14" t="s">
        <v>23</v>
      </c>
      <c r="H85" s="26" t="s">
        <v>23</v>
      </c>
      <c r="I85" s="14">
        <f t="shared" si="14"/>
        <v>341401.66000000003</v>
      </c>
      <c r="J85" s="41" t="s">
        <v>23</v>
      </c>
      <c r="K85" s="41" t="s">
        <v>23</v>
      </c>
    </row>
    <row r="86" spans="1:46" ht="13.8" x14ac:dyDescent="0.25">
      <c r="A86" s="165"/>
      <c r="B86" s="5" t="s">
        <v>91</v>
      </c>
      <c r="C86" s="5"/>
      <c r="D86" s="6" t="s">
        <v>18</v>
      </c>
      <c r="E86" s="14">
        <f t="shared" si="13"/>
        <v>384047.72</v>
      </c>
      <c r="F86" s="14">
        <v>384047.72</v>
      </c>
      <c r="G86" s="14" t="s">
        <v>23</v>
      </c>
      <c r="H86" s="26" t="s">
        <v>23</v>
      </c>
      <c r="I86" s="14">
        <f t="shared" si="14"/>
        <v>382369.86</v>
      </c>
      <c r="J86" s="41" t="s">
        <v>23</v>
      </c>
      <c r="K86" s="41" t="s">
        <v>23</v>
      </c>
    </row>
    <row r="87" spans="1:46" ht="13.8" x14ac:dyDescent="0.25">
      <c r="A87" s="165"/>
      <c r="B87" s="5" t="s">
        <v>38</v>
      </c>
      <c r="C87" s="5"/>
      <c r="D87" s="6" t="s">
        <v>18</v>
      </c>
      <c r="E87" s="14">
        <f t="shared" si="13"/>
        <v>146900.85999999999</v>
      </c>
      <c r="F87" s="14">
        <v>146900.85999999999</v>
      </c>
      <c r="G87" s="14" t="s">
        <v>23</v>
      </c>
      <c r="H87" s="26" t="s">
        <v>23</v>
      </c>
      <c r="I87" s="14">
        <f t="shared" si="14"/>
        <v>145223</v>
      </c>
      <c r="J87" s="41" t="s">
        <v>23</v>
      </c>
      <c r="K87" s="41" t="s">
        <v>23</v>
      </c>
    </row>
    <row r="88" spans="1:46" ht="13.8" x14ac:dyDescent="0.25">
      <c r="A88" s="165"/>
      <c r="B88" s="5" t="s">
        <v>39</v>
      </c>
      <c r="C88" s="5"/>
      <c r="D88" s="6" t="s">
        <v>18</v>
      </c>
      <c r="E88" s="14">
        <f t="shared" si="13"/>
        <v>164327.62</v>
      </c>
      <c r="F88" s="14">
        <v>164327.62</v>
      </c>
      <c r="G88" s="14" t="s">
        <v>23</v>
      </c>
      <c r="H88" s="26" t="s">
        <v>23</v>
      </c>
      <c r="I88" s="14">
        <f t="shared" si="14"/>
        <v>162649.76</v>
      </c>
      <c r="J88" s="41" t="s">
        <v>23</v>
      </c>
      <c r="K88" s="41" t="s">
        <v>23</v>
      </c>
    </row>
    <row r="89" spans="1:46" ht="63" customHeight="1" x14ac:dyDescent="0.25">
      <c r="A89" s="165"/>
      <c r="B89" s="12" t="s">
        <v>33</v>
      </c>
      <c r="C89" s="12"/>
      <c r="D89" s="6" t="s">
        <v>18</v>
      </c>
      <c r="E89" s="14">
        <f>SUM(F89:H89)</f>
        <v>447315.43</v>
      </c>
      <c r="F89" s="14">
        <f>445116.57+2198.86</f>
        <v>447315.43</v>
      </c>
      <c r="G89" s="14" t="s">
        <v>23</v>
      </c>
      <c r="H89" s="26" t="s">
        <v>23</v>
      </c>
      <c r="I89" s="14">
        <f>F89-1908.73-2198.86</f>
        <v>443207.84</v>
      </c>
      <c r="J89" s="41" t="s">
        <v>23</v>
      </c>
      <c r="K89" s="41" t="s">
        <v>23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O89" s="10"/>
      <c r="AP89" s="10"/>
      <c r="AQ89" s="10"/>
      <c r="AR89" s="10"/>
      <c r="AS89" s="10"/>
      <c r="AT89" s="10"/>
    </row>
    <row r="90" spans="1:46" ht="61.95" customHeight="1" x14ac:dyDescent="0.25">
      <c r="A90" s="165"/>
      <c r="B90" s="12" t="s">
        <v>41</v>
      </c>
      <c r="C90" s="12"/>
      <c r="D90" s="6" t="s">
        <v>18</v>
      </c>
      <c r="E90" s="14">
        <f>SUM(F90:H90)</f>
        <v>500500.27999999997</v>
      </c>
      <c r="F90" s="14">
        <f>498301.42+2198.86</f>
        <v>500500.27999999997</v>
      </c>
      <c r="G90" s="14" t="s">
        <v>23</v>
      </c>
      <c r="H90" s="26" t="s">
        <v>23</v>
      </c>
      <c r="I90" s="14">
        <f>F90-2198.86</f>
        <v>498301.42</v>
      </c>
      <c r="J90" s="41" t="s">
        <v>23</v>
      </c>
      <c r="K90" s="41" t="s">
        <v>23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O90" s="10"/>
      <c r="AP90" s="10"/>
      <c r="AQ90" s="10"/>
      <c r="AR90" s="10"/>
      <c r="AS90" s="10"/>
      <c r="AT90" s="10"/>
    </row>
    <row r="91" spans="1:46" ht="60" customHeight="1" x14ac:dyDescent="0.25">
      <c r="A91" s="165"/>
      <c r="B91" s="12" t="s">
        <v>34</v>
      </c>
      <c r="C91" s="12"/>
      <c r="D91" s="6" t="s">
        <v>18</v>
      </c>
      <c r="E91" s="14">
        <f>F91</f>
        <v>39242.36</v>
      </c>
      <c r="F91" s="14">
        <f>39242.36</f>
        <v>39242.36</v>
      </c>
      <c r="G91" s="14" t="s">
        <v>23</v>
      </c>
      <c r="H91" s="26" t="s">
        <v>23</v>
      </c>
      <c r="I91" s="14">
        <f>F91</f>
        <v>39242.36</v>
      </c>
      <c r="J91" s="41" t="s">
        <v>23</v>
      </c>
      <c r="K91" s="41" t="s">
        <v>23</v>
      </c>
    </row>
    <row r="92" spans="1:46" ht="61.2" customHeight="1" x14ac:dyDescent="0.25">
      <c r="A92" s="166"/>
      <c r="B92" s="12" t="s">
        <v>35</v>
      </c>
      <c r="C92" s="12"/>
      <c r="D92" s="6" t="s">
        <v>18</v>
      </c>
      <c r="E92" s="14">
        <f>F92</f>
        <v>43951.44</v>
      </c>
      <c r="F92" s="14">
        <f>43951.44</f>
        <v>43951.44</v>
      </c>
      <c r="G92" s="14" t="s">
        <v>23</v>
      </c>
      <c r="H92" s="26" t="s">
        <v>23</v>
      </c>
      <c r="I92" s="14">
        <f>F92</f>
        <v>43951.44</v>
      </c>
      <c r="J92" s="41" t="s">
        <v>23</v>
      </c>
      <c r="K92" s="41" t="s">
        <v>23</v>
      </c>
    </row>
    <row r="93" spans="1:46" ht="50.4" customHeight="1" x14ac:dyDescent="0.25">
      <c r="A93" s="174" t="s">
        <v>126</v>
      </c>
      <c r="B93" s="12" t="s">
        <v>17</v>
      </c>
      <c r="C93" s="12"/>
      <c r="D93" s="4" t="s">
        <v>18</v>
      </c>
      <c r="E93" s="14">
        <f>SUM(F93:H93)</f>
        <v>98880.290000000008</v>
      </c>
      <c r="F93" s="14">
        <f>54145.32+2750.57</f>
        <v>56895.89</v>
      </c>
      <c r="G93" s="14">
        <v>12790.33</v>
      </c>
      <c r="H93" s="14">
        <v>29194.07</v>
      </c>
      <c r="I93" s="14">
        <f>54145.32-3120.99+G93-165.7</f>
        <v>63648.960000000006</v>
      </c>
      <c r="J93" s="26">
        <v>5821.07</v>
      </c>
      <c r="K93" s="26">
        <v>933.5</v>
      </c>
      <c r="L93" s="43" t="s">
        <v>76</v>
      </c>
      <c r="M93" s="43"/>
      <c r="N93" s="43" t="s">
        <v>145</v>
      </c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O93" s="43"/>
      <c r="AP93" s="43"/>
      <c r="AQ93" s="43"/>
      <c r="AR93" s="43"/>
      <c r="AS93" s="43"/>
      <c r="AT93" s="43"/>
    </row>
    <row r="94" spans="1:46" ht="52.2" customHeight="1" x14ac:dyDescent="0.25">
      <c r="A94" s="175"/>
      <c r="B94" s="12" t="s">
        <v>17</v>
      </c>
      <c r="C94" s="12"/>
      <c r="D94" s="4" t="s">
        <v>18</v>
      </c>
      <c r="E94" s="14">
        <f t="shared" ref="E94:E98" si="15">SUM(F94:H94)</f>
        <v>99926.93</v>
      </c>
      <c r="F94" s="14">
        <f t="shared" ref="F94:F97" si="16">54145.32+2750.57</f>
        <v>56895.89</v>
      </c>
      <c r="G94" s="14">
        <v>13836.97</v>
      </c>
      <c r="H94" s="14">
        <v>29194.07</v>
      </c>
      <c r="I94" s="14">
        <f>54145.32-3120.99+G94-165.7</f>
        <v>64695.600000000006</v>
      </c>
      <c r="J94" s="26">
        <v>5821.07</v>
      </c>
      <c r="K94" s="26">
        <v>933.5</v>
      </c>
      <c r="L94" s="43" t="s">
        <v>77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O94" s="43"/>
      <c r="AP94" s="43"/>
      <c r="AQ94" s="43"/>
      <c r="AR94" s="43"/>
      <c r="AS94" s="43"/>
      <c r="AT94" s="43"/>
    </row>
    <row r="95" spans="1:46" ht="49.95" customHeight="1" x14ac:dyDescent="0.25">
      <c r="A95" s="175"/>
      <c r="B95" s="12" t="s">
        <v>17</v>
      </c>
      <c r="C95" s="12"/>
      <c r="D95" s="4" t="s">
        <v>18</v>
      </c>
      <c r="E95" s="14">
        <f t="shared" si="15"/>
        <v>99728.75</v>
      </c>
      <c r="F95" s="14">
        <f t="shared" si="16"/>
        <v>56895.89</v>
      </c>
      <c r="G95" s="14">
        <v>13638.79</v>
      </c>
      <c r="H95" s="14">
        <v>29194.07</v>
      </c>
      <c r="I95" s="14">
        <f>54145.32-3120.99+G95-165.7</f>
        <v>64497.420000000006</v>
      </c>
      <c r="J95" s="26">
        <v>5821.07</v>
      </c>
      <c r="K95" s="26">
        <v>933.5</v>
      </c>
      <c r="L95" s="43" t="s">
        <v>78</v>
      </c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O95" s="43"/>
      <c r="AP95" s="43"/>
      <c r="AQ95" s="43"/>
      <c r="AR95" s="43"/>
      <c r="AS95" s="43"/>
      <c r="AT95" s="43"/>
    </row>
    <row r="96" spans="1:46" ht="41.4" customHeight="1" x14ac:dyDescent="0.25">
      <c r="A96" s="175"/>
      <c r="B96" s="12" t="s">
        <v>17</v>
      </c>
      <c r="C96" s="12"/>
      <c r="D96" s="4" t="s">
        <v>18</v>
      </c>
      <c r="E96" s="14">
        <f t="shared" si="15"/>
        <v>100357.73999999999</v>
      </c>
      <c r="F96" s="14">
        <f t="shared" si="16"/>
        <v>56895.89</v>
      </c>
      <c r="G96" s="14">
        <v>14267.78</v>
      </c>
      <c r="H96" s="14">
        <v>29194.07</v>
      </c>
      <c r="I96" s="14">
        <f>54145.32-3120.99+G96-165.7</f>
        <v>65126.41</v>
      </c>
      <c r="J96" s="26">
        <v>5821.07</v>
      </c>
      <c r="K96" s="26">
        <v>933.5</v>
      </c>
      <c r="L96" s="43" t="s">
        <v>79</v>
      </c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O96" s="43"/>
      <c r="AP96" s="43"/>
      <c r="AQ96" s="43"/>
      <c r="AR96" s="43"/>
      <c r="AS96" s="43"/>
      <c r="AT96" s="43"/>
    </row>
    <row r="97" spans="1:55" ht="43.2" customHeight="1" x14ac:dyDescent="0.25">
      <c r="A97" s="175"/>
      <c r="B97" s="12" t="s">
        <v>17</v>
      </c>
      <c r="C97" s="12"/>
      <c r="D97" s="4" t="s">
        <v>18</v>
      </c>
      <c r="E97" s="14">
        <f t="shared" si="15"/>
        <v>70891.23</v>
      </c>
      <c r="F97" s="14">
        <f t="shared" si="16"/>
        <v>56895.89</v>
      </c>
      <c r="G97" s="14">
        <v>13995.34</v>
      </c>
      <c r="H97" s="14" t="s">
        <v>200</v>
      </c>
      <c r="I97" s="14">
        <f>54145.32-3120.99+G97-165.7</f>
        <v>64853.97</v>
      </c>
      <c r="J97" s="26">
        <v>5821.07</v>
      </c>
      <c r="K97" s="26">
        <v>933.5</v>
      </c>
      <c r="L97" s="43" t="s">
        <v>74</v>
      </c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O97" s="43"/>
      <c r="AP97" s="43"/>
      <c r="AQ97" s="43"/>
      <c r="AR97" s="43"/>
      <c r="AS97" s="43"/>
      <c r="AT97" s="43"/>
    </row>
    <row r="98" spans="1:55" ht="55.2" customHeight="1" x14ac:dyDescent="0.25">
      <c r="A98" s="175"/>
      <c r="B98" s="12" t="s">
        <v>24</v>
      </c>
      <c r="C98" s="12"/>
      <c r="D98" s="4" t="s">
        <v>18</v>
      </c>
      <c r="E98" s="14">
        <f t="shared" si="15"/>
        <v>106068.6</v>
      </c>
      <c r="F98" s="14">
        <f>60128.62+2750.57</f>
        <v>62879.19</v>
      </c>
      <c r="G98" s="14">
        <v>13995.34</v>
      </c>
      <c r="H98" s="14">
        <v>29194.07</v>
      </c>
      <c r="I98" s="14">
        <f>60128.62-3120.99+G98-165.7</f>
        <v>70837.27</v>
      </c>
      <c r="J98" s="26">
        <v>5821.07</v>
      </c>
      <c r="K98" s="26">
        <v>933.5</v>
      </c>
      <c r="L98" s="43" t="s">
        <v>164</v>
      </c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O98" s="43"/>
      <c r="AP98" s="43"/>
      <c r="AQ98" s="43"/>
      <c r="AR98" s="43"/>
      <c r="AS98" s="43"/>
      <c r="AT98" s="43"/>
    </row>
    <row r="99" spans="1:55" ht="49.95" customHeight="1" x14ac:dyDescent="0.25">
      <c r="A99" s="175"/>
      <c r="B99" s="12" t="s">
        <v>17</v>
      </c>
      <c r="C99" s="12"/>
      <c r="D99" s="4"/>
      <c r="E99" s="14"/>
      <c r="F99" s="14"/>
      <c r="G99" s="14"/>
      <c r="H99" s="26"/>
      <c r="I99" s="14"/>
      <c r="J99" s="42"/>
      <c r="K99" s="42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O99" s="43"/>
      <c r="AP99" s="43"/>
      <c r="AQ99" s="43"/>
      <c r="AR99" s="43"/>
      <c r="AS99" s="43"/>
      <c r="AT99" s="43"/>
    </row>
    <row r="100" spans="1:55" ht="117" customHeight="1" x14ac:dyDescent="0.25">
      <c r="A100" s="175"/>
      <c r="B100" s="12" t="s">
        <v>19</v>
      </c>
      <c r="C100" s="12"/>
      <c r="D100" s="4" t="s">
        <v>20</v>
      </c>
      <c r="E100" s="14" t="s">
        <v>196</v>
      </c>
      <c r="F100" s="14" t="s">
        <v>180</v>
      </c>
      <c r="G100" s="14" t="s">
        <v>176</v>
      </c>
      <c r="H100" s="26" t="s">
        <v>188</v>
      </c>
      <c r="I100" s="14" t="s">
        <v>181</v>
      </c>
      <c r="J100" s="26" t="s">
        <v>150</v>
      </c>
      <c r="K100" s="26" t="s">
        <v>151</v>
      </c>
      <c r="L100" s="43" t="s">
        <v>75</v>
      </c>
      <c r="M100" s="43"/>
      <c r="N100" s="43" t="s">
        <v>146</v>
      </c>
      <c r="O100" s="43" t="s">
        <v>145</v>
      </c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O100" s="43"/>
      <c r="AP100" s="43"/>
      <c r="AQ100" s="43"/>
      <c r="AR100" s="43"/>
      <c r="AS100" s="43"/>
      <c r="AT100" s="43"/>
      <c r="AU100" s="20">
        <v>1649.65</v>
      </c>
      <c r="AV100" s="20">
        <v>4001.99</v>
      </c>
      <c r="AW100" s="7">
        <v>20284.349999999999</v>
      </c>
      <c r="AX100" s="29">
        <f>AU100+AV100+AW100</f>
        <v>25935.989999999998</v>
      </c>
      <c r="AY100" s="22"/>
      <c r="AZ100" s="7">
        <f>4001.99*2.411294</f>
        <v>9649.9744750599984</v>
      </c>
      <c r="BA100" s="7">
        <v>1622.42</v>
      </c>
      <c r="BB100" s="7">
        <v>11462.74</v>
      </c>
      <c r="BC100" s="7">
        <f>AZ100+BA100+BB100</f>
        <v>22735.134475059996</v>
      </c>
    </row>
    <row r="101" spans="1:55" ht="125.4" customHeight="1" x14ac:dyDescent="0.25">
      <c r="A101" s="175"/>
      <c r="B101" s="35" t="s">
        <v>21</v>
      </c>
      <c r="C101" s="35"/>
      <c r="D101" s="19" t="s">
        <v>20</v>
      </c>
      <c r="E101" s="26" t="s">
        <v>197</v>
      </c>
      <c r="F101" s="14" t="s">
        <v>182</v>
      </c>
      <c r="G101" s="14" t="s">
        <v>176</v>
      </c>
      <c r="H101" s="26" t="s">
        <v>189</v>
      </c>
      <c r="I101" s="14" t="s">
        <v>183</v>
      </c>
      <c r="J101" s="26" t="s">
        <v>150</v>
      </c>
      <c r="K101" s="26" t="s">
        <v>151</v>
      </c>
    </row>
    <row r="102" spans="1:55" ht="70.95" customHeight="1" x14ac:dyDescent="0.25">
      <c r="A102" s="175"/>
      <c r="B102" s="5" t="s">
        <v>32</v>
      </c>
      <c r="C102" s="5"/>
      <c r="D102" s="6" t="s">
        <v>18</v>
      </c>
      <c r="E102" s="14" t="s">
        <v>22</v>
      </c>
      <c r="F102" s="14" t="s">
        <v>22</v>
      </c>
      <c r="G102" s="14" t="s">
        <v>22</v>
      </c>
      <c r="H102" s="26">
        <v>0.76</v>
      </c>
      <c r="I102" s="14" t="s">
        <v>22</v>
      </c>
      <c r="J102" s="41" t="s">
        <v>22</v>
      </c>
      <c r="K102" s="41" t="s">
        <v>22</v>
      </c>
    </row>
    <row r="103" spans="1:55" ht="13.8" x14ac:dyDescent="0.25">
      <c r="A103" s="44"/>
      <c r="B103" s="5" t="s">
        <v>43</v>
      </c>
      <c r="C103" s="5"/>
      <c r="D103" s="6" t="s">
        <v>18</v>
      </c>
      <c r="E103" s="14">
        <f>F103</f>
        <v>87898.44</v>
      </c>
      <c r="F103" s="14">
        <v>87898.44</v>
      </c>
      <c r="G103" s="14" t="s">
        <v>23</v>
      </c>
      <c r="H103" s="26" t="s">
        <v>23</v>
      </c>
      <c r="I103" s="14">
        <f t="shared" ref="I103:I118" si="17">F103-2743.49</f>
        <v>85154.95</v>
      </c>
      <c r="J103" s="41" t="s">
        <v>23</v>
      </c>
      <c r="K103" s="41" t="s">
        <v>23</v>
      </c>
    </row>
    <row r="104" spans="1:55" ht="13.8" x14ac:dyDescent="0.25">
      <c r="A104" s="44"/>
      <c r="B104" s="5" t="s">
        <v>44</v>
      </c>
      <c r="C104" s="5"/>
      <c r="D104" s="6" t="s">
        <v>18</v>
      </c>
      <c r="E104" s="14">
        <f>F104</f>
        <v>98117.04</v>
      </c>
      <c r="F104" s="14">
        <v>98117.04</v>
      </c>
      <c r="G104" s="14" t="s">
        <v>23</v>
      </c>
      <c r="H104" s="26" t="s">
        <v>23</v>
      </c>
      <c r="I104" s="14">
        <f t="shared" si="17"/>
        <v>95373.549999999988</v>
      </c>
      <c r="J104" s="41" t="s">
        <v>23</v>
      </c>
      <c r="K104" s="41" t="s">
        <v>23</v>
      </c>
    </row>
    <row r="105" spans="1:55" ht="13.8" x14ac:dyDescent="0.25">
      <c r="A105" s="44"/>
      <c r="B105" s="5" t="s">
        <v>45</v>
      </c>
      <c r="C105" s="5"/>
      <c r="D105" s="6" t="s">
        <v>18</v>
      </c>
      <c r="E105" s="14">
        <f t="shared" ref="E105:E118" si="18">F105</f>
        <v>71944.38</v>
      </c>
      <c r="F105" s="14">
        <v>71944.38</v>
      </c>
      <c r="G105" s="14" t="s">
        <v>23</v>
      </c>
      <c r="H105" s="26" t="s">
        <v>23</v>
      </c>
      <c r="I105" s="14">
        <f t="shared" si="17"/>
        <v>69200.89</v>
      </c>
      <c r="J105" s="41" t="s">
        <v>23</v>
      </c>
      <c r="K105" s="41" t="s">
        <v>23</v>
      </c>
    </row>
    <row r="106" spans="1:55" ht="13.8" x14ac:dyDescent="0.25">
      <c r="A106" s="44"/>
      <c r="B106" s="5" t="s">
        <v>46</v>
      </c>
      <c r="C106" s="5"/>
      <c r="D106" s="6" t="s">
        <v>18</v>
      </c>
      <c r="E106" s="14">
        <f t="shared" si="18"/>
        <v>80248.490000000005</v>
      </c>
      <c r="F106" s="14">
        <v>80248.490000000005</v>
      </c>
      <c r="G106" s="14" t="s">
        <v>23</v>
      </c>
      <c r="H106" s="26" t="s">
        <v>23</v>
      </c>
      <c r="I106" s="14">
        <f t="shared" si="17"/>
        <v>77505</v>
      </c>
      <c r="J106" s="41" t="s">
        <v>23</v>
      </c>
      <c r="K106" s="41" t="s">
        <v>23</v>
      </c>
    </row>
    <row r="107" spans="1:55" ht="13.8" x14ac:dyDescent="0.25">
      <c r="A107" s="44"/>
      <c r="B107" s="5" t="s">
        <v>36</v>
      </c>
      <c r="C107" s="5"/>
      <c r="D107" s="6" t="s">
        <v>18</v>
      </c>
      <c r="E107" s="14">
        <f t="shared" si="18"/>
        <v>119806.54</v>
      </c>
      <c r="F107" s="14">
        <v>119806.54</v>
      </c>
      <c r="G107" s="14" t="s">
        <v>23</v>
      </c>
      <c r="H107" s="26" t="s">
        <v>23</v>
      </c>
      <c r="I107" s="14">
        <f t="shared" si="17"/>
        <v>117063.04999999999</v>
      </c>
      <c r="J107" s="41" t="s">
        <v>23</v>
      </c>
      <c r="K107" s="41" t="s">
        <v>23</v>
      </c>
    </row>
    <row r="108" spans="1:55" ht="13.8" x14ac:dyDescent="0.25">
      <c r="A108" s="44"/>
      <c r="B108" s="5" t="s">
        <v>37</v>
      </c>
      <c r="C108" s="5"/>
      <c r="D108" s="6" t="s">
        <v>18</v>
      </c>
      <c r="E108" s="14">
        <f t="shared" si="18"/>
        <v>133854.09</v>
      </c>
      <c r="F108" s="14">
        <v>133854.09</v>
      </c>
      <c r="G108" s="14" t="s">
        <v>23</v>
      </c>
      <c r="H108" s="26" t="s">
        <v>23</v>
      </c>
      <c r="I108" s="14">
        <f t="shared" si="17"/>
        <v>131110.6</v>
      </c>
      <c r="J108" s="41" t="s">
        <v>23</v>
      </c>
      <c r="K108" s="41" t="s">
        <v>23</v>
      </c>
    </row>
    <row r="109" spans="1:55" ht="13.8" x14ac:dyDescent="0.25">
      <c r="A109" s="44"/>
      <c r="B109" s="5" t="s">
        <v>47</v>
      </c>
      <c r="C109" s="5"/>
      <c r="D109" s="6" t="s">
        <v>18</v>
      </c>
      <c r="E109" s="14">
        <f t="shared" si="18"/>
        <v>310708.38</v>
      </c>
      <c r="F109" s="14">
        <v>310708.38</v>
      </c>
      <c r="G109" s="14" t="s">
        <v>23</v>
      </c>
      <c r="H109" s="26" t="s">
        <v>23</v>
      </c>
      <c r="I109" s="14">
        <f t="shared" si="17"/>
        <v>307964.89</v>
      </c>
      <c r="J109" s="41" t="s">
        <v>23</v>
      </c>
      <c r="K109" s="41" t="s">
        <v>23</v>
      </c>
    </row>
    <row r="110" spans="1:55" ht="13.8" x14ac:dyDescent="0.25">
      <c r="A110" s="44"/>
      <c r="B110" s="5" t="s">
        <v>48</v>
      </c>
      <c r="C110" s="5"/>
      <c r="D110" s="6" t="s">
        <v>18</v>
      </c>
      <c r="E110" s="14">
        <f t="shared" si="18"/>
        <v>347664.17</v>
      </c>
      <c r="F110" s="14">
        <v>347664.17</v>
      </c>
      <c r="G110" s="14" t="s">
        <v>23</v>
      </c>
      <c r="H110" s="26" t="s">
        <v>23</v>
      </c>
      <c r="I110" s="14">
        <f t="shared" si="17"/>
        <v>344920.68</v>
      </c>
      <c r="J110" s="41" t="s">
        <v>23</v>
      </c>
      <c r="K110" s="41" t="s">
        <v>23</v>
      </c>
    </row>
    <row r="111" spans="1:55" ht="13.8" x14ac:dyDescent="0.25">
      <c r="A111" s="44"/>
      <c r="B111" s="5" t="s">
        <v>55</v>
      </c>
      <c r="C111" s="5"/>
      <c r="D111" s="6" t="s">
        <v>18</v>
      </c>
      <c r="E111" s="14">
        <f t="shared" si="18"/>
        <v>223221.7</v>
      </c>
      <c r="F111" s="14">
        <v>223221.7</v>
      </c>
      <c r="G111" s="14" t="s">
        <v>23</v>
      </c>
      <c r="H111" s="26" t="s">
        <v>23</v>
      </c>
      <c r="I111" s="14">
        <f t="shared" si="17"/>
        <v>220478.21000000002</v>
      </c>
      <c r="J111" s="41" t="s">
        <v>23</v>
      </c>
      <c r="K111" s="41" t="s">
        <v>23</v>
      </c>
    </row>
    <row r="112" spans="1:55" ht="13.8" x14ac:dyDescent="0.25">
      <c r="A112" s="44"/>
      <c r="B112" s="5" t="s">
        <v>56</v>
      </c>
      <c r="C112" s="5"/>
      <c r="D112" s="6" t="s">
        <v>18</v>
      </c>
      <c r="E112" s="14">
        <f t="shared" si="18"/>
        <v>249679.07</v>
      </c>
      <c r="F112" s="14">
        <v>249679.07</v>
      </c>
      <c r="G112" s="14" t="s">
        <v>23</v>
      </c>
      <c r="H112" s="26" t="s">
        <v>23</v>
      </c>
      <c r="I112" s="14">
        <f t="shared" si="17"/>
        <v>246935.58000000002</v>
      </c>
      <c r="J112" s="41" t="s">
        <v>23</v>
      </c>
      <c r="K112" s="41" t="s">
        <v>23</v>
      </c>
    </row>
    <row r="113" spans="1:50" ht="13.8" x14ac:dyDescent="0.25">
      <c r="A113" s="44"/>
      <c r="B113" s="5" t="s">
        <v>49</v>
      </c>
      <c r="C113" s="5"/>
      <c r="D113" s="6" t="s">
        <v>18</v>
      </c>
      <c r="E113" s="14">
        <f t="shared" si="18"/>
        <v>26113.16</v>
      </c>
      <c r="F113" s="14">
        <v>26113.16</v>
      </c>
      <c r="G113" s="14" t="s">
        <v>23</v>
      </c>
      <c r="H113" s="26" t="s">
        <v>23</v>
      </c>
      <c r="I113" s="14">
        <f t="shared" si="17"/>
        <v>23369.67</v>
      </c>
      <c r="J113" s="41" t="s">
        <v>23</v>
      </c>
      <c r="K113" s="41" t="s">
        <v>23</v>
      </c>
    </row>
    <row r="114" spans="1:50" ht="13.8" x14ac:dyDescent="0.25">
      <c r="A114" s="44"/>
      <c r="B114" s="5" t="s">
        <v>50</v>
      </c>
      <c r="C114" s="5"/>
      <c r="D114" s="6" t="s">
        <v>18</v>
      </c>
      <c r="E114" s="14">
        <f t="shared" si="18"/>
        <v>28917.53</v>
      </c>
      <c r="F114" s="14">
        <v>28917.53</v>
      </c>
      <c r="G114" s="14" t="s">
        <v>23</v>
      </c>
      <c r="H114" s="26" t="s">
        <v>23</v>
      </c>
      <c r="I114" s="14">
        <f t="shared" si="17"/>
        <v>26174.04</v>
      </c>
      <c r="J114" s="41" t="s">
        <v>23</v>
      </c>
      <c r="K114" s="41" t="s">
        <v>23</v>
      </c>
    </row>
    <row r="115" spans="1:50" ht="13.8" x14ac:dyDescent="0.25">
      <c r="A115" s="44"/>
      <c r="B115" s="5" t="s">
        <v>90</v>
      </c>
      <c r="C115" s="5"/>
      <c r="D115" s="6" t="s">
        <v>18</v>
      </c>
      <c r="E115" s="14">
        <f t="shared" si="18"/>
        <v>425676.93</v>
      </c>
      <c r="F115" s="14">
        <v>425676.93</v>
      </c>
      <c r="G115" s="14" t="s">
        <v>23</v>
      </c>
      <c r="H115" s="26" t="s">
        <v>23</v>
      </c>
      <c r="I115" s="14">
        <f t="shared" si="17"/>
        <v>422933.44</v>
      </c>
      <c r="J115" s="41" t="s">
        <v>23</v>
      </c>
      <c r="K115" s="41" t="s">
        <v>23</v>
      </c>
    </row>
    <row r="116" spans="1:50" ht="13.8" x14ac:dyDescent="0.25">
      <c r="A116" s="44"/>
      <c r="B116" s="5" t="s">
        <v>91</v>
      </c>
      <c r="C116" s="5"/>
      <c r="D116" s="6" t="s">
        <v>18</v>
      </c>
      <c r="E116" s="14">
        <f t="shared" si="18"/>
        <v>476428.95</v>
      </c>
      <c r="F116" s="14">
        <v>476428.95</v>
      </c>
      <c r="G116" s="14" t="s">
        <v>23</v>
      </c>
      <c r="H116" s="26" t="s">
        <v>23</v>
      </c>
      <c r="I116" s="14">
        <f t="shared" si="17"/>
        <v>473685.46</v>
      </c>
      <c r="J116" s="41" t="s">
        <v>23</v>
      </c>
      <c r="K116" s="41" t="s">
        <v>23</v>
      </c>
    </row>
    <row r="117" spans="1:50" ht="13.8" x14ac:dyDescent="0.25">
      <c r="A117" s="44"/>
      <c r="B117" s="5" t="s">
        <v>38</v>
      </c>
      <c r="C117" s="5"/>
      <c r="D117" s="6" t="s">
        <v>18</v>
      </c>
      <c r="E117" s="14">
        <f t="shared" si="18"/>
        <v>18697.54</v>
      </c>
      <c r="F117" s="14">
        <v>18697.54</v>
      </c>
      <c r="G117" s="14" t="s">
        <v>23</v>
      </c>
      <c r="H117" s="26" t="s">
        <v>23</v>
      </c>
      <c r="I117" s="14">
        <f t="shared" si="17"/>
        <v>15954.050000000001</v>
      </c>
      <c r="J117" s="41" t="s">
        <v>23</v>
      </c>
      <c r="K117" s="41" t="s">
        <v>23</v>
      </c>
    </row>
    <row r="118" spans="1:50" ht="13.8" x14ac:dyDescent="0.25">
      <c r="A118" s="44"/>
      <c r="B118" s="5" t="s">
        <v>39</v>
      </c>
      <c r="C118" s="5"/>
      <c r="D118" s="6" t="s">
        <v>18</v>
      </c>
      <c r="E118" s="14">
        <f t="shared" si="18"/>
        <v>20612.03</v>
      </c>
      <c r="F118" s="14">
        <v>20612.03</v>
      </c>
      <c r="G118" s="14" t="s">
        <v>23</v>
      </c>
      <c r="H118" s="26" t="s">
        <v>23</v>
      </c>
      <c r="I118" s="14">
        <f t="shared" si="17"/>
        <v>17868.54</v>
      </c>
      <c r="J118" s="41" t="s">
        <v>23</v>
      </c>
      <c r="K118" s="41" t="s">
        <v>23</v>
      </c>
    </row>
    <row r="119" spans="1:50" ht="63.6" customHeight="1" x14ac:dyDescent="0.25">
      <c r="A119" s="44"/>
      <c r="B119" s="12" t="s">
        <v>33</v>
      </c>
      <c r="C119" s="12"/>
      <c r="D119" s="6" t="s">
        <v>18</v>
      </c>
      <c r="E119" s="14">
        <f>SUM(F119:H119)</f>
        <v>504480.39</v>
      </c>
      <c r="F119" s="14">
        <f>501729.82+2750.57</f>
        <v>504480.39</v>
      </c>
      <c r="G119" s="14" t="s">
        <v>23</v>
      </c>
      <c r="H119" s="26" t="s">
        <v>23</v>
      </c>
      <c r="I119" s="14">
        <f>501729.82-3120.99</f>
        <v>498608.83</v>
      </c>
      <c r="J119" s="41" t="s">
        <v>23</v>
      </c>
      <c r="K119" s="41" t="s">
        <v>23</v>
      </c>
    </row>
    <row r="120" spans="1:50" ht="55.2" x14ac:dyDescent="0.25">
      <c r="A120" s="44"/>
      <c r="B120" s="12" t="s">
        <v>40</v>
      </c>
      <c r="C120" s="12"/>
      <c r="D120" s="6" t="s">
        <v>18</v>
      </c>
      <c r="E120" s="14">
        <f>SUM(F120:H120)</f>
        <v>564313.44999999995</v>
      </c>
      <c r="F120" s="14">
        <f>561562.88+2750.57</f>
        <v>564313.44999999995</v>
      </c>
      <c r="G120" s="14" t="s">
        <v>23</v>
      </c>
      <c r="H120" s="26" t="s">
        <v>23</v>
      </c>
      <c r="I120" s="14">
        <f>561562.88</f>
        <v>561562.88</v>
      </c>
      <c r="J120" s="41" t="s">
        <v>23</v>
      </c>
      <c r="K120" s="41" t="s">
        <v>23</v>
      </c>
    </row>
    <row r="121" spans="1:50" ht="59.4" customHeight="1" x14ac:dyDescent="0.25">
      <c r="A121" s="44"/>
      <c r="B121" s="12" t="s">
        <v>34</v>
      </c>
      <c r="C121" s="12"/>
      <c r="D121" s="6" t="s">
        <v>18</v>
      </c>
      <c r="E121" s="14">
        <f>F121</f>
        <v>55400.98</v>
      </c>
      <c r="F121" s="14">
        <f>55400.98</f>
        <v>55400.98</v>
      </c>
      <c r="G121" s="14" t="s">
        <v>23</v>
      </c>
      <c r="H121" s="26" t="s">
        <v>23</v>
      </c>
      <c r="I121" s="14">
        <f>E121</f>
        <v>55400.98</v>
      </c>
      <c r="J121" s="41" t="s">
        <v>23</v>
      </c>
      <c r="K121" s="41" t="s">
        <v>23</v>
      </c>
    </row>
    <row r="122" spans="1:50" ht="57" customHeight="1" x14ac:dyDescent="0.25">
      <c r="A122" s="45"/>
      <c r="B122" s="12" t="s">
        <v>35</v>
      </c>
      <c r="C122" s="12"/>
      <c r="D122" s="6" t="s">
        <v>18</v>
      </c>
      <c r="E122" s="14">
        <f>F122</f>
        <v>64799.67</v>
      </c>
      <c r="F122" s="14">
        <f>62049.1+2750.57</f>
        <v>64799.67</v>
      </c>
      <c r="G122" s="14" t="s">
        <v>23</v>
      </c>
      <c r="H122" s="26" t="s">
        <v>23</v>
      </c>
      <c r="I122" s="14">
        <f>62049.1</f>
        <v>62049.1</v>
      </c>
      <c r="J122" s="41" t="s">
        <v>23</v>
      </c>
      <c r="K122" s="41" t="s">
        <v>23</v>
      </c>
    </row>
    <row r="123" spans="1:50" ht="43.2" customHeight="1" x14ac:dyDescent="0.25">
      <c r="A123" s="164" t="s">
        <v>67</v>
      </c>
      <c r="B123" s="12" t="s">
        <v>17</v>
      </c>
      <c r="C123" s="12"/>
      <c r="D123" s="4" t="s">
        <v>18</v>
      </c>
      <c r="E123" s="14">
        <f t="shared" ref="E123:E128" si="19">SUM(F123:H123)</f>
        <v>114855.91</v>
      </c>
      <c r="F123" s="14">
        <f>70145.11+2726.4</f>
        <v>72871.509999999995</v>
      </c>
      <c r="G123" s="14">
        <v>12790.33</v>
      </c>
      <c r="H123" s="14">
        <v>29194.07</v>
      </c>
      <c r="I123" s="14">
        <f>70145.11-3120.99+G123-165.7</f>
        <v>79648.75</v>
      </c>
      <c r="J123" s="26">
        <v>2383.54</v>
      </c>
      <c r="K123" s="26">
        <v>120.83</v>
      </c>
      <c r="L123" s="43" t="s">
        <v>76</v>
      </c>
      <c r="M123" s="43"/>
      <c r="N123" s="43" t="s">
        <v>144</v>
      </c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O123" s="43"/>
      <c r="AP123" s="43"/>
      <c r="AQ123" s="43"/>
      <c r="AR123" s="43"/>
      <c r="AS123" s="43"/>
      <c r="AT123" s="43"/>
      <c r="AV123" s="7">
        <v>7790.73</v>
      </c>
      <c r="AW123" s="7">
        <v>1428.72</v>
      </c>
      <c r="AX123" s="7">
        <v>411.21</v>
      </c>
    </row>
    <row r="124" spans="1:50" ht="43.2" customHeight="1" x14ac:dyDescent="0.25">
      <c r="A124" s="165"/>
      <c r="B124" s="12" t="s">
        <v>17</v>
      </c>
      <c r="C124" s="12"/>
      <c r="D124" s="4" t="s">
        <v>18</v>
      </c>
      <c r="E124" s="14">
        <f t="shared" si="19"/>
        <v>115902.54999999999</v>
      </c>
      <c r="F124" s="14">
        <f t="shared" ref="F124:F127" si="20">70145.11+2726.4</f>
        <v>72871.509999999995</v>
      </c>
      <c r="G124" s="14">
        <v>13836.97</v>
      </c>
      <c r="H124" s="14">
        <v>29194.07</v>
      </c>
      <c r="I124" s="14">
        <f>70145.11-3120.99+G124-165.7</f>
        <v>80695.39</v>
      </c>
      <c r="J124" s="26">
        <v>2383.54</v>
      </c>
      <c r="K124" s="26">
        <v>120.83</v>
      </c>
      <c r="L124" s="43" t="s">
        <v>77</v>
      </c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O124" s="43"/>
      <c r="AP124" s="43"/>
      <c r="AQ124" s="43"/>
      <c r="AR124" s="43"/>
      <c r="AS124" s="43"/>
      <c r="AT124" s="43"/>
    </row>
    <row r="125" spans="1:50" ht="45" customHeight="1" x14ac:dyDescent="0.25">
      <c r="A125" s="165"/>
      <c r="B125" s="12" t="s">
        <v>17</v>
      </c>
      <c r="C125" s="12"/>
      <c r="D125" s="4" t="s">
        <v>18</v>
      </c>
      <c r="E125" s="14">
        <f t="shared" si="19"/>
        <v>115704.37</v>
      </c>
      <c r="F125" s="14">
        <f t="shared" si="20"/>
        <v>72871.509999999995</v>
      </c>
      <c r="G125" s="14">
        <v>13638.79</v>
      </c>
      <c r="H125" s="14">
        <v>29194.07</v>
      </c>
      <c r="I125" s="14">
        <f>70145.11-3120.99+G125-165.7</f>
        <v>80497.210000000006</v>
      </c>
      <c r="J125" s="26">
        <v>2383.54</v>
      </c>
      <c r="K125" s="26">
        <v>120.83</v>
      </c>
      <c r="L125" s="43" t="s">
        <v>78</v>
      </c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O125" s="43"/>
      <c r="AP125" s="43"/>
      <c r="AQ125" s="43"/>
      <c r="AR125" s="43"/>
      <c r="AS125" s="43"/>
      <c r="AT125" s="43"/>
    </row>
    <row r="126" spans="1:50" ht="45.6" customHeight="1" x14ac:dyDescent="0.25">
      <c r="A126" s="165"/>
      <c r="B126" s="12" t="s">
        <v>17</v>
      </c>
      <c r="C126" s="12"/>
      <c r="D126" s="4" t="s">
        <v>18</v>
      </c>
      <c r="E126" s="11">
        <f t="shared" si="19"/>
        <v>116333.35999999999</v>
      </c>
      <c r="F126" s="14">
        <f t="shared" si="20"/>
        <v>72871.509999999995</v>
      </c>
      <c r="G126" s="14">
        <v>14267.78</v>
      </c>
      <c r="H126" s="14">
        <v>29194.07</v>
      </c>
      <c r="I126" s="14">
        <f>70145.11-3120.99+G126-165.7</f>
        <v>81126.2</v>
      </c>
      <c r="J126" s="26">
        <v>2383.54</v>
      </c>
      <c r="K126" s="26">
        <v>120.83</v>
      </c>
      <c r="L126" s="43" t="s">
        <v>79</v>
      </c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O126" s="43"/>
      <c r="AP126" s="43"/>
      <c r="AQ126" s="43"/>
      <c r="AR126" s="43"/>
      <c r="AS126" s="43"/>
      <c r="AT126" s="43"/>
    </row>
    <row r="127" spans="1:50" ht="45.6" customHeight="1" x14ac:dyDescent="0.25">
      <c r="A127" s="165"/>
      <c r="B127" s="12" t="s">
        <v>17</v>
      </c>
      <c r="C127" s="12"/>
      <c r="D127" s="4" t="s">
        <v>18</v>
      </c>
      <c r="E127" s="11">
        <f t="shared" si="19"/>
        <v>116060.91999999998</v>
      </c>
      <c r="F127" s="14">
        <f t="shared" si="20"/>
        <v>72871.509999999995</v>
      </c>
      <c r="G127" s="14">
        <v>13995.34</v>
      </c>
      <c r="H127" s="14">
        <v>29194.07</v>
      </c>
      <c r="I127" s="14">
        <f>70145.11-3120.99+G127-165.7</f>
        <v>80853.759999999995</v>
      </c>
      <c r="J127" s="26">
        <v>2383.54</v>
      </c>
      <c r="K127" s="26">
        <v>120.83</v>
      </c>
      <c r="L127" s="43" t="s">
        <v>74</v>
      </c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O127" s="43"/>
      <c r="AP127" s="43"/>
      <c r="AQ127" s="43"/>
      <c r="AR127" s="43"/>
      <c r="AS127" s="43"/>
      <c r="AT127" s="43"/>
    </row>
    <row r="128" spans="1:50" ht="57" customHeight="1" x14ac:dyDescent="0.25">
      <c r="A128" s="165"/>
      <c r="B128" s="12" t="s">
        <v>132</v>
      </c>
      <c r="C128" s="12"/>
      <c r="D128" s="4" t="s">
        <v>18</v>
      </c>
      <c r="E128" s="11">
        <f t="shared" si="19"/>
        <v>172101.88</v>
      </c>
      <c r="F128" s="14">
        <f>126186.07+2726.4</f>
        <v>128912.47</v>
      </c>
      <c r="G128" s="14">
        <v>13995.34</v>
      </c>
      <c r="H128" s="14">
        <v>29194.07</v>
      </c>
      <c r="I128" s="14">
        <f>126186.07-23660.99+G128-165.7</f>
        <v>116354.72</v>
      </c>
      <c r="J128" s="26">
        <v>2383.54</v>
      </c>
      <c r="K128" s="26">
        <v>120.83</v>
      </c>
      <c r="L128" s="43" t="s">
        <v>74</v>
      </c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O128" s="43"/>
      <c r="AP128" s="43"/>
      <c r="AQ128" s="43"/>
      <c r="AR128" s="43"/>
      <c r="AS128" s="43"/>
      <c r="AT128" s="43"/>
    </row>
    <row r="129" spans="1:51" ht="119.4" customHeight="1" x14ac:dyDescent="0.25">
      <c r="A129" s="165"/>
      <c r="B129" s="12" t="s">
        <v>19</v>
      </c>
      <c r="C129" s="12"/>
      <c r="D129" s="4" t="s">
        <v>20</v>
      </c>
      <c r="E129" s="14" t="s">
        <v>198</v>
      </c>
      <c r="F129" s="14" t="s">
        <v>184</v>
      </c>
      <c r="G129" s="14" t="s">
        <v>176</v>
      </c>
      <c r="H129" s="26" t="s">
        <v>190</v>
      </c>
      <c r="I129" s="14" t="s">
        <v>185</v>
      </c>
      <c r="J129" s="26" t="s">
        <v>152</v>
      </c>
      <c r="K129" s="26" t="s">
        <v>153</v>
      </c>
      <c r="L129" s="43" t="s">
        <v>75</v>
      </c>
      <c r="M129" s="43"/>
      <c r="N129" s="43" t="s">
        <v>146</v>
      </c>
      <c r="O129" s="43" t="s">
        <v>144</v>
      </c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O129" s="43"/>
      <c r="AP129" s="43"/>
      <c r="AQ129" s="43"/>
      <c r="AR129" s="43"/>
      <c r="AS129" s="43"/>
      <c r="AT129" s="43"/>
      <c r="AV129" s="7">
        <v>1998.78</v>
      </c>
      <c r="AW129" s="7">
        <v>4001.99</v>
      </c>
      <c r="AX129" s="7">
        <v>45178.25</v>
      </c>
      <c r="AY129" s="9">
        <f>AV129+AW129+AX129</f>
        <v>51179.02</v>
      </c>
    </row>
    <row r="130" spans="1:51" ht="128.4" customHeight="1" x14ac:dyDescent="0.25">
      <c r="A130" s="165"/>
      <c r="B130" s="12" t="s">
        <v>21</v>
      </c>
      <c r="C130" s="12"/>
      <c r="D130" s="4" t="s">
        <v>20</v>
      </c>
      <c r="E130" s="14" t="s">
        <v>199</v>
      </c>
      <c r="F130" s="14" t="s">
        <v>186</v>
      </c>
      <c r="G130" s="14" t="s">
        <v>176</v>
      </c>
      <c r="H130" s="26" t="s">
        <v>191</v>
      </c>
      <c r="I130" s="14" t="s">
        <v>187</v>
      </c>
      <c r="J130" s="26" t="s">
        <v>152</v>
      </c>
      <c r="K130" s="26" t="s">
        <v>153</v>
      </c>
      <c r="AX130" s="7">
        <f>1998.78+4001.99+45178.25</f>
        <v>51179.02</v>
      </c>
    </row>
    <row r="131" spans="1:51" ht="75" customHeight="1" x14ac:dyDescent="0.25">
      <c r="A131" s="165"/>
      <c r="B131" s="5" t="s">
        <v>42</v>
      </c>
      <c r="C131" s="5"/>
      <c r="D131" s="6" t="s">
        <v>18</v>
      </c>
      <c r="E131" s="40" t="s">
        <v>23</v>
      </c>
      <c r="F131" s="40" t="s">
        <v>23</v>
      </c>
      <c r="G131" s="40" t="s">
        <v>23</v>
      </c>
      <c r="H131" s="26" t="s">
        <v>23</v>
      </c>
      <c r="I131" s="40" t="s">
        <v>23</v>
      </c>
      <c r="J131" s="41" t="s">
        <v>23</v>
      </c>
      <c r="K131" s="41" t="s">
        <v>23</v>
      </c>
    </row>
    <row r="132" spans="1:51" ht="16.95" customHeight="1" x14ac:dyDescent="0.25">
      <c r="A132" s="165"/>
      <c r="B132" s="5" t="s">
        <v>36</v>
      </c>
      <c r="C132" s="5"/>
      <c r="D132" s="6" t="s">
        <v>18</v>
      </c>
      <c r="E132" s="40">
        <f>F132</f>
        <v>122576.58</v>
      </c>
      <c r="F132" s="14">
        <v>122576.58</v>
      </c>
      <c r="G132" s="14" t="s">
        <v>23</v>
      </c>
      <c r="H132" s="26" t="s">
        <v>23</v>
      </c>
      <c r="I132" s="14">
        <f>F132-2743.49</f>
        <v>119833.09</v>
      </c>
      <c r="J132" s="41" t="s">
        <v>23</v>
      </c>
      <c r="K132" s="41" t="s">
        <v>23</v>
      </c>
    </row>
    <row r="133" spans="1:51" ht="16.95" customHeight="1" x14ac:dyDescent="0.25">
      <c r="A133" s="165"/>
      <c r="B133" s="5" t="s">
        <v>37</v>
      </c>
      <c r="C133" s="5"/>
      <c r="D133" s="6" t="s">
        <v>18</v>
      </c>
      <c r="E133" s="40">
        <f t="shared" ref="E133:E135" si="21">F133</f>
        <v>136956.54999999999</v>
      </c>
      <c r="F133" s="14">
        <v>136956.54999999999</v>
      </c>
      <c r="G133" s="14" t="s">
        <v>23</v>
      </c>
      <c r="H133" s="26" t="s">
        <v>23</v>
      </c>
      <c r="I133" s="14">
        <f>F133-2743.49</f>
        <v>134213.06</v>
      </c>
      <c r="J133" s="41" t="s">
        <v>23</v>
      </c>
      <c r="K133" s="41" t="s">
        <v>23</v>
      </c>
    </row>
    <row r="134" spans="1:51" ht="16.95" customHeight="1" x14ac:dyDescent="0.25">
      <c r="A134" s="165"/>
      <c r="B134" s="5" t="s">
        <v>38</v>
      </c>
      <c r="C134" s="5"/>
      <c r="D134" s="6" t="s">
        <v>18</v>
      </c>
      <c r="E134" s="40">
        <f t="shared" si="21"/>
        <v>18697.54</v>
      </c>
      <c r="F134" s="14">
        <v>18697.54</v>
      </c>
      <c r="G134" s="14" t="s">
        <v>23</v>
      </c>
      <c r="H134" s="26" t="s">
        <v>23</v>
      </c>
      <c r="I134" s="14">
        <f>F134-2743.49</f>
        <v>15954.050000000001</v>
      </c>
      <c r="J134" s="41" t="s">
        <v>23</v>
      </c>
      <c r="K134" s="41" t="s">
        <v>23</v>
      </c>
    </row>
    <row r="135" spans="1:51" ht="16.95" customHeight="1" x14ac:dyDescent="0.25">
      <c r="A135" s="165"/>
      <c r="B135" s="5" t="s">
        <v>39</v>
      </c>
      <c r="C135" s="5"/>
      <c r="D135" s="6" t="s">
        <v>18</v>
      </c>
      <c r="E135" s="40">
        <f t="shared" si="21"/>
        <v>20612.03</v>
      </c>
      <c r="F135" s="14">
        <v>20612.03</v>
      </c>
      <c r="G135" s="14" t="s">
        <v>23</v>
      </c>
      <c r="H135" s="26" t="s">
        <v>23</v>
      </c>
      <c r="I135" s="14">
        <f>F135-2743.49</f>
        <v>17868.54</v>
      </c>
      <c r="J135" s="41" t="s">
        <v>23</v>
      </c>
      <c r="K135" s="41" t="s">
        <v>23</v>
      </c>
    </row>
    <row r="136" spans="1:51" ht="63" customHeight="1" x14ac:dyDescent="0.25">
      <c r="A136" s="165"/>
      <c r="B136" s="12" t="s">
        <v>33</v>
      </c>
      <c r="C136" s="12"/>
      <c r="D136" s="6" t="s">
        <v>18</v>
      </c>
      <c r="E136" s="40">
        <f>SUM(F136:H136)</f>
        <v>559857.20000000007</v>
      </c>
      <c r="F136" s="14">
        <f>557130.8+2726.4</f>
        <v>559857.20000000007</v>
      </c>
      <c r="G136" s="14" t="s">
        <v>131</v>
      </c>
      <c r="H136" s="26" t="s">
        <v>23</v>
      </c>
      <c r="I136" s="14">
        <f>557130.8-3120.99</f>
        <v>554009.81000000006</v>
      </c>
      <c r="J136" s="41" t="s">
        <v>23</v>
      </c>
      <c r="K136" s="41" t="s">
        <v>23</v>
      </c>
    </row>
    <row r="137" spans="1:51" ht="63" customHeight="1" x14ac:dyDescent="0.25">
      <c r="A137" s="165"/>
      <c r="B137" s="12" t="s">
        <v>41</v>
      </c>
      <c r="C137" s="12"/>
      <c r="D137" s="6" t="s">
        <v>18</v>
      </c>
      <c r="E137" s="40">
        <f>SUM(F137:H137)</f>
        <v>626338.37</v>
      </c>
      <c r="F137" s="14">
        <f>623611.97+2726.4</f>
        <v>626338.37</v>
      </c>
      <c r="G137" s="14" t="s">
        <v>131</v>
      </c>
      <c r="H137" s="26" t="s">
        <v>23</v>
      </c>
      <c r="I137" s="14">
        <f>623611.97</f>
        <v>623611.97</v>
      </c>
      <c r="J137" s="41" t="s">
        <v>23</v>
      </c>
      <c r="K137" s="41" t="s">
        <v>23</v>
      </c>
    </row>
    <row r="138" spans="1:51" ht="62.4" customHeight="1" x14ac:dyDescent="0.25">
      <c r="A138" s="165"/>
      <c r="B138" s="12" t="s">
        <v>34</v>
      </c>
      <c r="C138" s="12"/>
      <c r="D138" s="6" t="s">
        <v>18</v>
      </c>
      <c r="E138" s="40">
        <f>F138</f>
        <v>57709.35</v>
      </c>
      <c r="F138" s="14">
        <v>57709.35</v>
      </c>
      <c r="G138" s="14" t="s">
        <v>23</v>
      </c>
      <c r="H138" s="26" t="s">
        <v>23</v>
      </c>
      <c r="I138" s="14">
        <f>E138</f>
        <v>57709.35</v>
      </c>
      <c r="J138" s="41" t="s">
        <v>23</v>
      </c>
      <c r="K138" s="41" t="s">
        <v>23</v>
      </c>
    </row>
    <row r="139" spans="1:51" ht="60.6" customHeight="1" x14ac:dyDescent="0.25">
      <c r="A139" s="165"/>
      <c r="B139" s="12" t="s">
        <v>35</v>
      </c>
      <c r="C139" s="12"/>
      <c r="D139" s="6" t="s">
        <v>18</v>
      </c>
      <c r="E139" s="40">
        <f>F139</f>
        <v>64634.48</v>
      </c>
      <c r="F139" s="14">
        <v>64634.48</v>
      </c>
      <c r="G139" s="14" t="s">
        <v>23</v>
      </c>
      <c r="H139" s="26" t="s">
        <v>23</v>
      </c>
      <c r="I139" s="14">
        <f>E139</f>
        <v>64634.48</v>
      </c>
      <c r="J139" s="41" t="s">
        <v>23</v>
      </c>
      <c r="K139" s="41" t="s">
        <v>23</v>
      </c>
    </row>
    <row r="140" spans="1:51" ht="74.400000000000006" customHeight="1" x14ac:dyDescent="0.25">
      <c r="A140" s="166"/>
      <c r="B140" s="12" t="s">
        <v>92</v>
      </c>
      <c r="C140" s="12"/>
      <c r="D140" s="6" t="s">
        <v>18</v>
      </c>
      <c r="E140" s="40">
        <f>F140+G140</f>
        <v>76603.67</v>
      </c>
      <c r="F140" s="14">
        <f>61086.94+2726.4</f>
        <v>63813.340000000004</v>
      </c>
      <c r="G140" s="14">
        <v>12790.33</v>
      </c>
      <c r="H140" s="26" t="s">
        <v>23</v>
      </c>
      <c r="I140" s="14">
        <f>61086.94-1424.35+G140-165.7</f>
        <v>72287.22</v>
      </c>
      <c r="J140" s="41" t="s">
        <v>23</v>
      </c>
      <c r="K140" s="41" t="s">
        <v>23</v>
      </c>
      <c r="L140" s="7" t="s">
        <v>76</v>
      </c>
    </row>
    <row r="141" spans="1:51" ht="70.95" customHeight="1" x14ac:dyDescent="0.25">
      <c r="A141" s="157" t="s">
        <v>127</v>
      </c>
      <c r="B141" s="12" t="s">
        <v>58</v>
      </c>
      <c r="C141" s="12"/>
      <c r="D141" s="6" t="s">
        <v>18</v>
      </c>
      <c r="E141" s="40">
        <f>F141</f>
        <v>5125.76</v>
      </c>
      <c r="F141" s="14">
        <v>5125.76</v>
      </c>
      <c r="G141" s="14" t="s">
        <v>23</v>
      </c>
      <c r="H141" s="26" t="s">
        <v>23</v>
      </c>
      <c r="I141" s="14">
        <f>F141</f>
        <v>5125.76</v>
      </c>
      <c r="J141" s="41" t="s">
        <v>23</v>
      </c>
      <c r="K141" s="41" t="s">
        <v>23</v>
      </c>
    </row>
    <row r="142" spans="1:51" ht="74.400000000000006" customHeight="1" x14ac:dyDescent="0.25">
      <c r="A142" s="158"/>
      <c r="B142" s="12" t="s">
        <v>59</v>
      </c>
      <c r="C142" s="12"/>
      <c r="D142" s="6" t="s">
        <v>18</v>
      </c>
      <c r="E142" s="40">
        <f>F142</f>
        <v>5740.85</v>
      </c>
      <c r="F142" s="14">
        <v>5740.85</v>
      </c>
      <c r="G142" s="14" t="s">
        <v>23</v>
      </c>
      <c r="H142" s="26" t="s">
        <v>23</v>
      </c>
      <c r="I142" s="14">
        <f>F142</f>
        <v>5740.85</v>
      </c>
      <c r="J142" s="41" t="s">
        <v>23</v>
      </c>
      <c r="K142" s="41" t="s">
        <v>23</v>
      </c>
    </row>
    <row r="143" spans="1:51" ht="73.2" customHeight="1" x14ac:dyDescent="0.25">
      <c r="A143" s="159"/>
      <c r="B143" s="12" t="s">
        <v>69</v>
      </c>
      <c r="C143" s="12"/>
      <c r="D143" s="6" t="s">
        <v>18</v>
      </c>
      <c r="E143" s="40" t="s">
        <v>23</v>
      </c>
      <c r="F143" s="14" t="s">
        <v>23</v>
      </c>
      <c r="G143" s="14" t="s">
        <v>23</v>
      </c>
      <c r="H143" s="14">
        <v>5752.01</v>
      </c>
      <c r="I143" s="14" t="s">
        <v>23</v>
      </c>
      <c r="J143" s="41" t="s">
        <v>23</v>
      </c>
      <c r="K143" s="41" t="s">
        <v>23</v>
      </c>
      <c r="L143" s="43" t="s">
        <v>74</v>
      </c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O143" s="43"/>
      <c r="AP143" s="43"/>
      <c r="AQ143" s="43"/>
      <c r="AR143" s="43"/>
      <c r="AS143" s="43"/>
      <c r="AT143" s="43"/>
    </row>
    <row r="144" spans="1:51" ht="88.95" customHeight="1" x14ac:dyDescent="0.25">
      <c r="A144" s="160" t="s">
        <v>133</v>
      </c>
      <c r="B144" s="109" t="s">
        <v>134</v>
      </c>
      <c r="C144" s="12"/>
      <c r="D144" s="6" t="s">
        <v>135</v>
      </c>
      <c r="E144" s="107">
        <f>F144</f>
        <v>2613705.66</v>
      </c>
      <c r="F144" s="155">
        <v>2613705.66</v>
      </c>
      <c r="G144" s="156" t="s">
        <v>23</v>
      </c>
      <c r="H144" s="110" t="s">
        <v>23</v>
      </c>
      <c r="I144" s="155">
        <f>F144</f>
        <v>2613705.66</v>
      </c>
      <c r="J144" s="108"/>
      <c r="K144" s="108"/>
      <c r="L144" s="43" t="s">
        <v>74</v>
      </c>
    </row>
    <row r="145" spans="1:77" ht="144.6" customHeight="1" x14ac:dyDescent="0.25">
      <c r="A145" s="161"/>
      <c r="B145" s="113" t="s">
        <v>136</v>
      </c>
      <c r="C145" s="12"/>
      <c r="D145" s="6" t="s">
        <v>135</v>
      </c>
      <c r="E145" s="107">
        <f>F145</f>
        <v>39957.800000000003</v>
      </c>
      <c r="F145" s="155">
        <v>39957.800000000003</v>
      </c>
      <c r="G145" s="156" t="s">
        <v>23</v>
      </c>
      <c r="H145" s="110" t="s">
        <v>23</v>
      </c>
      <c r="I145" s="155">
        <f>F145-3500</f>
        <v>36457.800000000003</v>
      </c>
      <c r="J145" s="108"/>
      <c r="K145" s="108"/>
      <c r="L145" s="43" t="s">
        <v>74</v>
      </c>
    </row>
    <row r="146" spans="1:77" ht="36" customHeight="1" x14ac:dyDescent="0.3">
      <c r="A146" s="50" t="s">
        <v>169</v>
      </c>
      <c r="B146" s="51"/>
      <c r="C146" s="51"/>
      <c r="D146" s="51"/>
      <c r="E146" s="51"/>
      <c r="F146" s="51"/>
      <c r="G146" s="51"/>
      <c r="H146" s="52"/>
      <c r="I146" s="51"/>
      <c r="J146" s="52"/>
      <c r="K146" s="52"/>
    </row>
    <row r="147" spans="1:77" ht="99" customHeight="1" x14ac:dyDescent="0.25">
      <c r="A147" s="15" t="s">
        <v>3</v>
      </c>
      <c r="B147" s="15" t="s">
        <v>26</v>
      </c>
      <c r="C147" s="15"/>
      <c r="D147" s="15" t="s">
        <v>16</v>
      </c>
      <c r="E147" s="15" t="s">
        <v>4</v>
      </c>
      <c r="F147" s="15" t="s">
        <v>5</v>
      </c>
      <c r="G147" s="15" t="s">
        <v>0</v>
      </c>
      <c r="H147" s="15" t="s">
        <v>31</v>
      </c>
      <c r="I147" s="15" t="s">
        <v>6</v>
      </c>
      <c r="J147" s="18" t="s">
        <v>7</v>
      </c>
      <c r="K147" s="18" t="s">
        <v>1</v>
      </c>
      <c r="N147" s="139" t="s">
        <v>163</v>
      </c>
      <c r="O147" s="136">
        <f>N150+N151+N152</f>
        <v>20238520</v>
      </c>
      <c r="R147" s="128" t="s">
        <v>154</v>
      </c>
      <c r="S147" s="129"/>
      <c r="T147" s="129"/>
      <c r="U147" s="129"/>
      <c r="BE147" s="53" t="s">
        <v>103</v>
      </c>
      <c r="BF147" s="70" t="s">
        <v>104</v>
      </c>
      <c r="BG147" s="54" t="s">
        <v>105</v>
      </c>
      <c r="BH147" s="55" t="s">
        <v>106</v>
      </c>
      <c r="BI147" s="55" t="s">
        <v>107</v>
      </c>
      <c r="BJ147" s="54" t="s">
        <v>108</v>
      </c>
      <c r="BK147" s="54" t="s">
        <v>109</v>
      </c>
      <c r="BL147" s="56" t="s">
        <v>110</v>
      </c>
      <c r="BM147" s="88" t="s">
        <v>111</v>
      </c>
      <c r="BN147" s="57" t="s">
        <v>112</v>
      </c>
      <c r="BO147" s="58" t="s">
        <v>113</v>
      </c>
      <c r="BP147" s="58" t="s">
        <v>114</v>
      </c>
      <c r="BQ147" s="59" t="s">
        <v>115</v>
      </c>
      <c r="BR147" s="59" t="s">
        <v>114</v>
      </c>
      <c r="BS147" s="60" t="s">
        <v>116</v>
      </c>
      <c r="BT147" s="89" t="s">
        <v>118</v>
      </c>
      <c r="BU147" s="89" t="s">
        <v>114</v>
      </c>
      <c r="BV147" s="90" t="s">
        <v>116</v>
      </c>
      <c r="BW147" s="92"/>
    </row>
    <row r="148" spans="1:77" ht="21.6" customHeight="1" x14ac:dyDescent="0.25">
      <c r="A148" s="162" t="s">
        <v>8</v>
      </c>
      <c r="B148" s="162"/>
      <c r="C148" s="162"/>
      <c r="D148" s="162"/>
      <c r="E148" s="114" t="s">
        <v>9</v>
      </c>
      <c r="F148" s="39" t="s">
        <v>9</v>
      </c>
      <c r="G148" s="39" t="s">
        <v>9</v>
      </c>
      <c r="H148" s="39" t="s">
        <v>9</v>
      </c>
      <c r="I148" s="114" t="s">
        <v>9</v>
      </c>
      <c r="J148" s="39" t="s">
        <v>9</v>
      </c>
      <c r="K148" s="39" t="s">
        <v>9</v>
      </c>
      <c r="O148" s="137" t="s">
        <v>161</v>
      </c>
      <c r="R148" s="129"/>
      <c r="S148" s="78" t="s">
        <v>119</v>
      </c>
      <c r="T148" s="78" t="s">
        <v>106</v>
      </c>
      <c r="U148" s="130" t="s">
        <v>120</v>
      </c>
      <c r="V148" s="97"/>
      <c r="W148" s="130" t="s">
        <v>155</v>
      </c>
      <c r="X148" s="78" t="s">
        <v>119</v>
      </c>
      <c r="Y148" s="78" t="s">
        <v>106</v>
      </c>
      <c r="Z148" s="130" t="s">
        <v>120</v>
      </c>
      <c r="AA148" s="97"/>
      <c r="AB148" s="97"/>
      <c r="AC148" s="97"/>
      <c r="AD148" s="97"/>
      <c r="AE148" s="97"/>
      <c r="AH148" s="104" t="s">
        <v>123</v>
      </c>
      <c r="AI148" s="96" t="s">
        <v>119</v>
      </c>
      <c r="AJ148" s="96" t="s">
        <v>106</v>
      </c>
      <c r="AK148" s="97" t="s">
        <v>120</v>
      </c>
      <c r="AL148" s="140"/>
      <c r="AM148" s="140"/>
      <c r="AN148" s="140"/>
      <c r="AO148" s="97"/>
      <c r="AP148" s="97"/>
      <c r="AQ148" s="97"/>
      <c r="AR148" s="97"/>
      <c r="AS148" s="97"/>
      <c r="AU148" s="97" t="s">
        <v>121</v>
      </c>
      <c r="AV148" s="96" t="s">
        <v>119</v>
      </c>
      <c r="AW148" s="96" t="s">
        <v>106</v>
      </c>
      <c r="AX148" s="97" t="s">
        <v>120</v>
      </c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82" t="s">
        <v>117</v>
      </c>
      <c r="BT148" s="61"/>
      <c r="BU148" s="61"/>
      <c r="BV148" s="82" t="s">
        <v>117</v>
      </c>
      <c r="BW148" s="93"/>
    </row>
    <row r="149" spans="1:77" ht="71.400000000000006" customHeight="1" x14ac:dyDescent="0.25">
      <c r="A149" s="120" t="s">
        <v>201</v>
      </c>
      <c r="B149" s="120" t="s">
        <v>27</v>
      </c>
      <c r="C149" s="120"/>
      <c r="D149" s="115" t="s">
        <v>57</v>
      </c>
      <c r="E149" s="132">
        <f>341.19+41.11+0.9</f>
        <v>383.2</v>
      </c>
      <c r="F149" s="46" t="s">
        <v>102</v>
      </c>
      <c r="G149" s="46" t="s">
        <v>102</v>
      </c>
      <c r="H149" s="46" t="s">
        <v>102</v>
      </c>
      <c r="I149" s="132">
        <f>314.22+41.11+0.9</f>
        <v>356.23</v>
      </c>
      <c r="J149" s="46">
        <f>0.32+13.37</f>
        <v>13.69</v>
      </c>
      <c r="K149" s="46">
        <f>0.03+6.05+1.195</f>
        <v>7.2750000000000004</v>
      </c>
      <c r="M149" s="135">
        <f>E149-E162</f>
        <v>97.550000000000011</v>
      </c>
      <c r="N149" s="9">
        <f>M149*72.54/100</f>
        <v>70.762770000000017</v>
      </c>
      <c r="O149" s="9">
        <f>M149*18.9/100</f>
        <v>18.436950000000003</v>
      </c>
      <c r="P149" s="9">
        <f>M149*8.56/100</f>
        <v>8.3502800000000015</v>
      </c>
      <c r="Q149" s="8" t="s">
        <v>161</v>
      </c>
      <c r="R149" s="78">
        <v>319.62</v>
      </c>
      <c r="S149" s="78">
        <v>135.51</v>
      </c>
      <c r="T149" s="78">
        <v>40.03</v>
      </c>
      <c r="U149" s="78">
        <v>5.64</v>
      </c>
      <c r="V149" s="73"/>
      <c r="W149" s="78">
        <f>319.62+30.52</f>
        <v>350.14</v>
      </c>
      <c r="X149" s="78">
        <f t="shared" ref="X149:X154" si="22">S149+9.6734697</f>
        <v>145.18346969999999</v>
      </c>
      <c r="Y149" s="78">
        <v>40.03</v>
      </c>
      <c r="Z149" s="79">
        <f t="shared" ref="Z149:Z154" si="23">U149+1.9072</f>
        <v>7.5472000000000001</v>
      </c>
      <c r="AA149" s="73"/>
      <c r="AB149" s="73"/>
      <c r="AC149" s="73"/>
      <c r="AD149" s="73"/>
      <c r="AE149" s="73"/>
      <c r="AH149" s="101">
        <v>267</v>
      </c>
      <c r="AI149" s="73">
        <v>136.80000000000001</v>
      </c>
      <c r="AJ149" s="73">
        <v>27.62</v>
      </c>
      <c r="AK149" s="73">
        <v>3.54</v>
      </c>
      <c r="AO149" s="73"/>
      <c r="AP149" s="73"/>
      <c r="AQ149" s="73"/>
      <c r="AR149" s="73"/>
      <c r="AS149" s="73"/>
      <c r="AU149" s="95">
        <v>211.40100000000001</v>
      </c>
      <c r="AV149" s="98">
        <f>122.18+8.462+13.38+0.52</f>
        <v>144.542</v>
      </c>
      <c r="AW149" s="74">
        <v>16.89</v>
      </c>
      <c r="AX149" s="73">
        <v>1.24</v>
      </c>
      <c r="BE149" s="76">
        <f>211.4-12.4</f>
        <v>199</v>
      </c>
      <c r="BF149" s="84">
        <f>134.58-12.4</f>
        <v>122.18</v>
      </c>
      <c r="BG149" s="78">
        <v>11.78</v>
      </c>
      <c r="BH149" s="85">
        <v>16.89</v>
      </c>
      <c r="BI149" s="85">
        <v>1.24</v>
      </c>
      <c r="BJ149" s="78">
        <v>0.247</v>
      </c>
      <c r="BK149" s="78">
        <f>43.26-1.31</f>
        <v>41.949999999999996</v>
      </c>
      <c r="BL149" s="78">
        <f>4.68+0.031</f>
        <v>4.7109999999999994</v>
      </c>
      <c r="BM149" s="87">
        <f t="shared" ref="BM149:BM154" si="24">BG149+BJ149+BK149+BL149</f>
        <v>58.687999999999995</v>
      </c>
      <c r="BN149" s="81">
        <v>207.46</v>
      </c>
      <c r="BO149" s="79">
        <f>BN149-BH149-BI149-BM149</f>
        <v>130.642</v>
      </c>
      <c r="BP149" s="80">
        <f>BO149-122.18</f>
        <v>8.4619999999999891</v>
      </c>
      <c r="BQ149" s="79">
        <f>BS149-BH149-BI149-BM149</f>
        <v>144.02199999999999</v>
      </c>
      <c r="BR149" s="80">
        <f>BQ149-BO149</f>
        <v>13.379999999999995</v>
      </c>
      <c r="BS149" s="83">
        <v>220.84</v>
      </c>
      <c r="BT149" s="79">
        <f t="shared" ref="BT149:BT154" si="25">BV149-BH149-BI149-BM149</f>
        <v>144.54200000000003</v>
      </c>
      <c r="BU149" s="80">
        <f t="shared" ref="BU149:BU154" si="26">BT149-BQ149</f>
        <v>0.52000000000003865</v>
      </c>
      <c r="BV149" s="91">
        <v>221.36</v>
      </c>
    </row>
    <row r="150" spans="1:77" ht="58.95" customHeight="1" x14ac:dyDescent="0.25">
      <c r="A150" s="13" t="s">
        <v>61</v>
      </c>
      <c r="B150" s="13" t="s">
        <v>27</v>
      </c>
      <c r="C150" s="13"/>
      <c r="D150" s="15" t="s">
        <v>57</v>
      </c>
      <c r="E150" s="132">
        <f>341.23+41.11+0.9</f>
        <v>383.24</v>
      </c>
      <c r="F150" s="46" t="s">
        <v>102</v>
      </c>
      <c r="G150" s="46" t="s">
        <v>102</v>
      </c>
      <c r="H150" s="46" t="s">
        <v>102</v>
      </c>
      <c r="I150" s="14">
        <f>314.72+41.11+0.9</f>
        <v>356.73</v>
      </c>
      <c r="J150" s="26">
        <f>0.39+13.37</f>
        <v>13.76</v>
      </c>
      <c r="K150" s="26">
        <f>0.04+6.05+1.195</f>
        <v>7.2850000000000001</v>
      </c>
      <c r="M150" s="138" t="s">
        <v>119</v>
      </c>
      <c r="N150" s="8">
        <v>14680568</v>
      </c>
      <c r="O150" s="134">
        <f>14680568*100/O147</f>
        <v>72.537754737006466</v>
      </c>
      <c r="P150" s="7" t="s">
        <v>160</v>
      </c>
      <c r="R150" s="78"/>
      <c r="S150" s="78"/>
      <c r="T150" s="78"/>
      <c r="U150" s="78"/>
      <c r="V150" s="73"/>
      <c r="W150" s="78"/>
      <c r="X150" s="78"/>
      <c r="Y150" s="78"/>
      <c r="Z150" s="78"/>
      <c r="AA150" s="73"/>
      <c r="AB150" s="73"/>
      <c r="AC150" s="73"/>
      <c r="AD150" s="73"/>
      <c r="AE150" s="73"/>
      <c r="AH150" s="102">
        <v>194.24</v>
      </c>
      <c r="AI150" s="73">
        <v>94.61</v>
      </c>
      <c r="AJ150" s="73">
        <v>13.052</v>
      </c>
      <c r="AK150" s="73">
        <v>1.671</v>
      </c>
      <c r="AO150" s="73"/>
      <c r="AP150" s="73"/>
      <c r="AQ150" s="73"/>
      <c r="AR150" s="73"/>
      <c r="AS150" s="73"/>
      <c r="AU150" s="99">
        <v>229.35</v>
      </c>
      <c r="AV150" s="98">
        <f>127.13+11.64+18.41+0.72</f>
        <v>157.89999999999998</v>
      </c>
      <c r="AW150" s="73">
        <v>11.821999999999999</v>
      </c>
      <c r="AX150" s="73">
        <v>0.86699999999999999</v>
      </c>
      <c r="BE150" s="77">
        <f>205.68-7.1</f>
        <v>198.58</v>
      </c>
      <c r="BF150" s="85">
        <v>127.13</v>
      </c>
      <c r="BG150" s="78">
        <v>6.53</v>
      </c>
      <c r="BH150" s="86">
        <v>11.824</v>
      </c>
      <c r="BI150" s="86">
        <v>0.86699999999999999</v>
      </c>
      <c r="BJ150" s="78">
        <v>0.17299999999999999</v>
      </c>
      <c r="BK150" s="78">
        <f>55.97-5.93</f>
        <v>50.04</v>
      </c>
      <c r="BL150" s="78">
        <f>1.998+0.021</f>
        <v>2.0190000000000001</v>
      </c>
      <c r="BM150" s="87">
        <f t="shared" si="24"/>
        <v>58.762</v>
      </c>
      <c r="BN150" s="81">
        <v>210.22</v>
      </c>
      <c r="BO150" s="79">
        <f t="shared" ref="BO150:BO154" si="27">BN150-BH150-BI150-BM150</f>
        <v>138.767</v>
      </c>
      <c r="BP150" s="79">
        <f>BO150-127.13</f>
        <v>11.637</v>
      </c>
      <c r="BQ150" s="79">
        <f t="shared" ref="BQ150:BQ154" si="28">BS150-BH150-BI150-BM150</f>
        <v>157.17699999999999</v>
      </c>
      <c r="BR150" s="80">
        <f>BQ150-BO150</f>
        <v>18.409999999999997</v>
      </c>
      <c r="BS150" s="83">
        <v>228.63</v>
      </c>
      <c r="BT150" s="79">
        <f t="shared" si="25"/>
        <v>157.89699999999999</v>
      </c>
      <c r="BU150" s="80">
        <f t="shared" si="26"/>
        <v>0.71999999999999886</v>
      </c>
      <c r="BV150" s="91">
        <v>229.35</v>
      </c>
      <c r="BW150" s="94"/>
      <c r="BX150" s="74"/>
      <c r="BY150" s="74"/>
    </row>
    <row r="151" spans="1:77" ht="72" customHeight="1" x14ac:dyDescent="0.25">
      <c r="A151" s="13" t="s">
        <v>62</v>
      </c>
      <c r="B151" s="13" t="s">
        <v>27</v>
      </c>
      <c r="C151" s="13"/>
      <c r="D151" s="15" t="s">
        <v>57</v>
      </c>
      <c r="E151" s="132">
        <f>341.18+41.13+0.98</f>
        <v>383.29</v>
      </c>
      <c r="F151" s="46" t="s">
        <v>102</v>
      </c>
      <c r="G151" s="46" t="s">
        <v>102</v>
      </c>
      <c r="H151" s="46" t="s">
        <v>102</v>
      </c>
      <c r="I151" s="14">
        <f>314.53+41.13+0.98</f>
        <v>356.64</v>
      </c>
      <c r="J151" s="26">
        <f>0.19+13.37</f>
        <v>13.559999999999999</v>
      </c>
      <c r="K151" s="26">
        <f>0.02+6.05+1.195</f>
        <v>7.2649999999999997</v>
      </c>
      <c r="M151" s="138" t="s">
        <v>106</v>
      </c>
      <c r="N151" s="8">
        <v>3824352</v>
      </c>
      <c r="O151" s="134">
        <f>3824352*100/O147</f>
        <v>18.896401515525838</v>
      </c>
      <c r="P151" s="7" t="s">
        <v>160</v>
      </c>
      <c r="R151" s="78"/>
      <c r="S151" s="78"/>
      <c r="T151" s="78"/>
      <c r="U151" s="78"/>
      <c r="V151" s="73"/>
      <c r="W151" s="78"/>
      <c r="X151" s="78"/>
      <c r="Y151" s="78"/>
      <c r="Z151" s="78"/>
      <c r="AA151" s="73"/>
      <c r="AB151" s="73"/>
      <c r="AC151" s="73"/>
      <c r="AD151" s="73"/>
      <c r="AE151" s="73"/>
      <c r="AH151" s="102">
        <v>197.02</v>
      </c>
      <c r="AI151" s="73">
        <v>73.37</v>
      </c>
      <c r="AJ151" s="73">
        <v>11.53</v>
      </c>
      <c r="AK151" s="73">
        <v>1.48</v>
      </c>
      <c r="AO151" s="73"/>
      <c r="AP151" s="73"/>
      <c r="AQ151" s="73"/>
      <c r="AR151" s="73"/>
      <c r="AS151" s="73"/>
      <c r="AU151" s="99">
        <v>266.29000000000002</v>
      </c>
      <c r="AV151" s="98">
        <f>106.47+25.4+40.12+1.58</f>
        <v>173.57000000000002</v>
      </c>
      <c r="AW151" s="73">
        <v>10.7</v>
      </c>
      <c r="AX151" s="73">
        <v>0.78</v>
      </c>
      <c r="BE151" s="77">
        <f>202.73-3.53</f>
        <v>199.2</v>
      </c>
      <c r="BF151" s="85">
        <v>106.47</v>
      </c>
      <c r="BG151" s="78">
        <v>29.44</v>
      </c>
      <c r="BH151" s="85">
        <v>10.7</v>
      </c>
      <c r="BI151" s="86">
        <v>0.78</v>
      </c>
      <c r="BJ151" s="78">
        <v>0.156</v>
      </c>
      <c r="BK151" s="78">
        <f>53.4-3.52</f>
        <v>49.879999999999995</v>
      </c>
      <c r="BL151" s="78">
        <f>1.75+0.019</f>
        <v>1.7689999999999999</v>
      </c>
      <c r="BM151" s="87">
        <f t="shared" si="24"/>
        <v>81.245000000000005</v>
      </c>
      <c r="BN151" s="81">
        <v>224.59</v>
      </c>
      <c r="BO151" s="79">
        <f t="shared" si="27"/>
        <v>131.86500000000001</v>
      </c>
      <c r="BP151" s="79">
        <f>BO151-106.47</f>
        <v>25.39500000000001</v>
      </c>
      <c r="BQ151" s="79">
        <f t="shared" si="28"/>
        <v>171.98499999999999</v>
      </c>
      <c r="BR151" s="80">
        <f>BQ151-BO151</f>
        <v>40.119999999999976</v>
      </c>
      <c r="BS151" s="83">
        <v>264.70999999999998</v>
      </c>
      <c r="BT151" s="79">
        <f t="shared" si="25"/>
        <v>173.56500000000003</v>
      </c>
      <c r="BU151" s="80">
        <f t="shared" si="26"/>
        <v>1.5800000000000409</v>
      </c>
      <c r="BV151" s="91">
        <v>266.29000000000002</v>
      </c>
      <c r="BW151" s="94"/>
      <c r="BX151" s="74"/>
      <c r="BY151" s="74"/>
    </row>
    <row r="152" spans="1:77" ht="74.400000000000006" customHeight="1" x14ac:dyDescent="0.25">
      <c r="A152" s="13" t="s">
        <v>63</v>
      </c>
      <c r="B152" s="13" t="s">
        <v>27</v>
      </c>
      <c r="C152" s="13"/>
      <c r="D152" s="15" t="s">
        <v>57</v>
      </c>
      <c r="E152" s="132">
        <f>341.25+41.11+0.9</f>
        <v>383.26</v>
      </c>
      <c r="F152" s="46" t="s">
        <v>102</v>
      </c>
      <c r="G152" s="46" t="s">
        <v>102</v>
      </c>
      <c r="H152" s="46" t="s">
        <v>102</v>
      </c>
      <c r="I152" s="14">
        <f>314.76+41.11+0.9</f>
        <v>356.77</v>
      </c>
      <c r="J152" s="26">
        <f>1.69+13.37</f>
        <v>15.059999999999999</v>
      </c>
      <c r="K152" s="26">
        <f>0.14+6.05+1.195</f>
        <v>7.3849999999999998</v>
      </c>
      <c r="M152" s="7" t="s">
        <v>162</v>
      </c>
      <c r="N152" s="8">
        <v>1733600</v>
      </c>
      <c r="O152" s="134">
        <f>1733600*100/O147</f>
        <v>8.5658437474676994</v>
      </c>
      <c r="P152" s="7" t="s">
        <v>160</v>
      </c>
      <c r="R152" s="78">
        <v>300.27</v>
      </c>
      <c r="S152" s="78">
        <v>105.77</v>
      </c>
      <c r="T152" s="78">
        <v>37.119999999999997</v>
      </c>
      <c r="U152" s="78">
        <v>12.285</v>
      </c>
      <c r="V152" s="73"/>
      <c r="W152" s="78">
        <f>300.27+30.52</f>
        <v>330.78999999999996</v>
      </c>
      <c r="X152" s="78">
        <f t="shared" si="22"/>
        <v>115.44346969999999</v>
      </c>
      <c r="Y152" s="78">
        <v>37.119999999999997</v>
      </c>
      <c r="Z152" s="78">
        <f t="shared" si="23"/>
        <v>14.1922</v>
      </c>
      <c r="AA152" s="73"/>
      <c r="AB152" s="73"/>
      <c r="AC152" s="73"/>
      <c r="AD152" s="73"/>
      <c r="AE152" s="73"/>
      <c r="AH152" s="102">
        <v>184.63</v>
      </c>
      <c r="AI152" s="73">
        <v>74.05</v>
      </c>
      <c r="AJ152" s="73">
        <v>11.84</v>
      </c>
      <c r="AK152" s="73">
        <v>1.516</v>
      </c>
      <c r="AO152" s="73"/>
      <c r="AP152" s="73"/>
      <c r="AQ152" s="73"/>
      <c r="AR152" s="73"/>
      <c r="AS152" s="73"/>
      <c r="AU152" s="99">
        <v>238.2</v>
      </c>
      <c r="AV152" s="98">
        <f>120.68+14.93+23.61+0.93</f>
        <v>160.15000000000003</v>
      </c>
      <c r="AW152" s="73">
        <v>12.38</v>
      </c>
      <c r="AX152" s="73">
        <v>0.90800000000000003</v>
      </c>
      <c r="BE152" s="77">
        <f>200.98-2.25</f>
        <v>198.73</v>
      </c>
      <c r="BF152" s="85">
        <v>120.68</v>
      </c>
      <c r="BG152" s="78">
        <v>4.49</v>
      </c>
      <c r="BH152" s="85">
        <v>12.38</v>
      </c>
      <c r="BI152" s="86">
        <v>0.90800000000000003</v>
      </c>
      <c r="BJ152" s="78">
        <v>0.18</v>
      </c>
      <c r="BK152" s="78">
        <f>60.25-3.13</f>
        <v>57.12</v>
      </c>
      <c r="BL152" s="78">
        <f>2.06+0.91</f>
        <v>2.97</v>
      </c>
      <c r="BM152" s="87">
        <f t="shared" si="24"/>
        <v>64.760000000000005</v>
      </c>
      <c r="BN152" s="81">
        <v>213.66</v>
      </c>
      <c r="BO152" s="79">
        <f t="shared" si="27"/>
        <v>135.61200000000002</v>
      </c>
      <c r="BP152" s="79">
        <f>BO152-120.68</f>
        <v>14.932000000000016</v>
      </c>
      <c r="BQ152" s="79">
        <f t="shared" si="28"/>
        <v>159.22200000000004</v>
      </c>
      <c r="BR152" s="80">
        <f t="shared" ref="BR152:BR154" si="29">BQ152-BO152</f>
        <v>23.610000000000014</v>
      </c>
      <c r="BS152" s="83">
        <v>237.27</v>
      </c>
      <c r="BT152" s="79">
        <f t="shared" si="25"/>
        <v>160.15199999999999</v>
      </c>
      <c r="BU152" s="80">
        <f t="shared" si="26"/>
        <v>0.92999999999994998</v>
      </c>
      <c r="BV152" s="91">
        <v>238.2</v>
      </c>
      <c r="BW152" s="94"/>
      <c r="BX152" s="74"/>
      <c r="BY152" s="74"/>
    </row>
    <row r="153" spans="1:77" ht="63" customHeight="1" x14ac:dyDescent="0.25">
      <c r="A153" s="13" t="s">
        <v>64</v>
      </c>
      <c r="B153" s="13" t="s">
        <v>27</v>
      </c>
      <c r="C153" s="13"/>
      <c r="D153" s="15" t="s">
        <v>57</v>
      </c>
      <c r="E153" s="132">
        <f>341.3+41.1+0.9</f>
        <v>383.3</v>
      </c>
      <c r="F153" s="46" t="s">
        <v>102</v>
      </c>
      <c r="G153" s="46" t="s">
        <v>102</v>
      </c>
      <c r="H153" s="46" t="s">
        <v>102</v>
      </c>
      <c r="I153" s="14">
        <f>315.08+41.1+0.9</f>
        <v>357.08</v>
      </c>
      <c r="J153" s="26">
        <f>2.01+13.37</f>
        <v>15.379999999999999</v>
      </c>
      <c r="K153" s="26">
        <f>0.22+6.05+1.195</f>
        <v>7.4649999999999999</v>
      </c>
      <c r="R153" s="78">
        <v>489.29</v>
      </c>
      <c r="S153" s="78">
        <v>212.68</v>
      </c>
      <c r="T153" s="78">
        <v>58.24</v>
      </c>
      <c r="U153" s="78">
        <v>7.96</v>
      </c>
      <c r="V153" s="73"/>
      <c r="W153" s="78">
        <f>489.29+30.52</f>
        <v>519.81000000000006</v>
      </c>
      <c r="X153" s="78">
        <f t="shared" si="22"/>
        <v>222.35346970000001</v>
      </c>
      <c r="Y153" s="78">
        <v>58.24</v>
      </c>
      <c r="Z153" s="78">
        <f t="shared" si="23"/>
        <v>9.8672000000000004</v>
      </c>
      <c r="AA153" s="73"/>
      <c r="AB153" s="73"/>
      <c r="AC153" s="73"/>
      <c r="AD153" s="73"/>
      <c r="AE153" s="73"/>
      <c r="AH153" s="102">
        <v>197.34</v>
      </c>
      <c r="AI153" s="73">
        <v>94.53</v>
      </c>
      <c r="AJ153" s="73">
        <v>15.48</v>
      </c>
      <c r="AK153" s="73">
        <v>1.98</v>
      </c>
      <c r="AO153" s="73"/>
      <c r="AP153" s="73"/>
      <c r="AQ153" s="73"/>
      <c r="AR153" s="73"/>
      <c r="AS153" s="73"/>
      <c r="AU153" s="99">
        <v>212.21</v>
      </c>
      <c r="AV153" s="98">
        <f>122+4.7+7.42+0.29</f>
        <v>134.41</v>
      </c>
      <c r="AW153" s="73">
        <v>16.04</v>
      </c>
      <c r="AX153" s="73">
        <v>1.18</v>
      </c>
      <c r="BE153" s="77">
        <f>220.3-20.5</f>
        <v>199.8</v>
      </c>
      <c r="BF153" s="85">
        <v>122</v>
      </c>
      <c r="BG153" s="78">
        <v>6.57</v>
      </c>
      <c r="BH153" s="85">
        <v>16.04</v>
      </c>
      <c r="BI153" s="85">
        <v>1.18</v>
      </c>
      <c r="BJ153" s="78">
        <v>0.23</v>
      </c>
      <c r="BK153" s="78">
        <f>53.17-2.04</f>
        <v>51.13</v>
      </c>
      <c r="BL153" s="78">
        <f>2.62+0.03</f>
        <v>2.65</v>
      </c>
      <c r="BM153" s="87">
        <f t="shared" si="24"/>
        <v>60.580000000000005</v>
      </c>
      <c r="BN153" s="81">
        <v>204.5</v>
      </c>
      <c r="BO153" s="79">
        <f t="shared" si="27"/>
        <v>126.69999999999999</v>
      </c>
      <c r="BP153" s="79">
        <f>BO153-122</f>
        <v>4.6999999999999886</v>
      </c>
      <c r="BQ153" s="79">
        <f t="shared" si="28"/>
        <v>134.11999999999998</v>
      </c>
      <c r="BR153" s="80">
        <f t="shared" si="29"/>
        <v>7.4199999999999875</v>
      </c>
      <c r="BS153" s="83">
        <v>211.92</v>
      </c>
      <c r="BT153" s="79">
        <f t="shared" si="25"/>
        <v>134.41</v>
      </c>
      <c r="BU153" s="80">
        <f t="shared" si="26"/>
        <v>0.29000000000002046</v>
      </c>
      <c r="BV153" s="91">
        <v>212.21</v>
      </c>
      <c r="BW153" s="94"/>
      <c r="BX153" s="74"/>
      <c r="BY153" s="74"/>
    </row>
    <row r="154" spans="1:77" ht="85.2" customHeight="1" x14ac:dyDescent="0.25">
      <c r="A154" s="13" t="s">
        <v>202</v>
      </c>
      <c r="B154" s="13" t="s">
        <v>27</v>
      </c>
      <c r="C154" s="13"/>
      <c r="D154" s="15" t="s">
        <v>57</v>
      </c>
      <c r="E154" s="132">
        <f>341.2+41.1+0.9</f>
        <v>383.2</v>
      </c>
      <c r="F154" s="46" t="s">
        <v>102</v>
      </c>
      <c r="G154" s="46" t="s">
        <v>102</v>
      </c>
      <c r="H154" s="46" t="s">
        <v>102</v>
      </c>
      <c r="I154" s="14">
        <f>314.63+41.1+0.9</f>
        <v>356.63</v>
      </c>
      <c r="J154" s="26">
        <f>1.69+13.37</f>
        <v>15.059999999999999</v>
      </c>
      <c r="K154" s="26">
        <f>0.19+6.05+1.195</f>
        <v>7.4350000000000005</v>
      </c>
      <c r="R154" s="78">
        <v>290.33999999999997</v>
      </c>
      <c r="S154" s="78">
        <v>132.83000000000001</v>
      </c>
      <c r="T154" s="78">
        <v>38.94</v>
      </c>
      <c r="U154" s="78">
        <v>12.81</v>
      </c>
      <c r="V154" s="73"/>
      <c r="W154" s="78">
        <f>290.34+30.52</f>
        <v>320.85999999999996</v>
      </c>
      <c r="X154" s="78">
        <f t="shared" si="22"/>
        <v>142.50346970000001</v>
      </c>
      <c r="Y154" s="78">
        <v>38.94</v>
      </c>
      <c r="Z154" s="78">
        <f t="shared" si="23"/>
        <v>14.7172</v>
      </c>
      <c r="AA154" s="73"/>
      <c r="AB154" s="73"/>
      <c r="AC154" s="73"/>
      <c r="AD154" s="73"/>
      <c r="AE154" s="73"/>
      <c r="AH154" s="102">
        <v>192.32</v>
      </c>
      <c r="AI154" s="73">
        <v>109.07</v>
      </c>
      <c r="AJ154" s="73">
        <v>19.12</v>
      </c>
      <c r="AK154" s="73">
        <v>2.4500000000000002</v>
      </c>
      <c r="AO154" s="73"/>
      <c r="AP154" s="73"/>
      <c r="AQ154" s="73"/>
      <c r="AR154" s="73"/>
      <c r="AS154" s="73"/>
      <c r="AU154" s="99">
        <v>219.42</v>
      </c>
      <c r="AV154" s="98">
        <f>133.4+9.86+15.58+0.62</f>
        <v>159.46</v>
      </c>
      <c r="AW154" s="73">
        <v>16.89</v>
      </c>
      <c r="AX154" s="73">
        <v>1.24</v>
      </c>
      <c r="BE154" s="77">
        <f>200-6.64</f>
        <v>193.36</v>
      </c>
      <c r="BF154" s="85">
        <v>133.4</v>
      </c>
      <c r="BG154" s="78">
        <v>3.78</v>
      </c>
      <c r="BH154" s="85">
        <v>16.89</v>
      </c>
      <c r="BI154" s="85">
        <v>1.24</v>
      </c>
      <c r="BJ154" s="78">
        <v>0.8</v>
      </c>
      <c r="BK154" s="78">
        <v>34.340000000000003</v>
      </c>
      <c r="BL154" s="78">
        <f>2.88+0.03</f>
        <v>2.9099999999999997</v>
      </c>
      <c r="BM154" s="87">
        <f t="shared" si="24"/>
        <v>41.83</v>
      </c>
      <c r="BN154" s="81">
        <v>203.22</v>
      </c>
      <c r="BO154" s="79">
        <f t="shared" si="27"/>
        <v>143.26</v>
      </c>
      <c r="BP154" s="79">
        <f>BO154-133.4</f>
        <v>9.8599999999999852</v>
      </c>
      <c r="BQ154" s="79">
        <f t="shared" si="28"/>
        <v>158.84000000000003</v>
      </c>
      <c r="BR154" s="80">
        <f t="shared" si="29"/>
        <v>15.580000000000041</v>
      </c>
      <c r="BS154" s="83">
        <v>218.8</v>
      </c>
      <c r="BT154" s="79">
        <f t="shared" si="25"/>
        <v>159.45999999999998</v>
      </c>
      <c r="BU154" s="80">
        <f t="shared" si="26"/>
        <v>0.6199999999999477</v>
      </c>
      <c r="BV154" s="91">
        <v>219.42</v>
      </c>
      <c r="BW154" s="94"/>
      <c r="BX154" s="74"/>
      <c r="BY154" s="74"/>
    </row>
    <row r="155" spans="1:77" ht="48.6" customHeight="1" x14ac:dyDescent="0.25">
      <c r="A155" s="121" t="s">
        <v>142</v>
      </c>
      <c r="B155" s="13" t="s">
        <v>27</v>
      </c>
      <c r="C155" s="13"/>
      <c r="D155" s="15" t="s">
        <v>168</v>
      </c>
      <c r="E155" s="132">
        <v>191863.84</v>
      </c>
      <c r="F155" s="46" t="s">
        <v>102</v>
      </c>
      <c r="G155" s="46" t="s">
        <v>102</v>
      </c>
      <c r="H155" s="46" t="s">
        <v>102</v>
      </c>
      <c r="I155" s="14">
        <v>173582.64</v>
      </c>
      <c r="J155" s="26">
        <v>13544.51</v>
      </c>
      <c r="K155" s="26">
        <v>838.52</v>
      </c>
      <c r="N155" s="8"/>
      <c r="O155" s="8"/>
      <c r="R155" s="78">
        <v>822641.93</v>
      </c>
      <c r="S155" s="78">
        <v>276304.15000000002</v>
      </c>
      <c r="T155" s="78">
        <v>373085.78</v>
      </c>
      <c r="U155" s="78">
        <v>33944.199999999997</v>
      </c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H155" s="103">
        <v>1187327.6599999999</v>
      </c>
      <c r="AI155" s="74">
        <v>593061.06000000006</v>
      </c>
      <c r="AJ155" s="74">
        <v>313471.09999999998</v>
      </c>
      <c r="AK155" s="74">
        <v>40138.239999999998</v>
      </c>
      <c r="AO155" s="74"/>
      <c r="AP155" s="74"/>
      <c r="AQ155" s="74"/>
      <c r="AR155" s="74"/>
      <c r="AS155" s="74"/>
      <c r="AU155" s="100">
        <v>2413431.79</v>
      </c>
      <c r="AV155" s="98">
        <v>1158246.98</v>
      </c>
      <c r="AW155" s="74">
        <v>877506.83</v>
      </c>
      <c r="AX155" s="74">
        <v>64368.99</v>
      </c>
      <c r="BD155" s="48"/>
      <c r="BE155" s="71">
        <f>1806231.18+607200.61</f>
        <v>2413431.79</v>
      </c>
      <c r="BF155" s="71">
        <v>1158246.98</v>
      </c>
      <c r="BG155" s="75"/>
      <c r="BH155" s="72">
        <f>336208.68+541298.15</f>
        <v>877506.83000000007</v>
      </c>
      <c r="BI155" s="72">
        <f>33717.09+30651.9</f>
        <v>64368.99</v>
      </c>
      <c r="BJ155" s="73"/>
      <c r="BK155" s="73"/>
      <c r="BL155" s="73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</row>
    <row r="156" spans="1:77" ht="18.600000000000001" customHeight="1" x14ac:dyDescent="0.25">
      <c r="F156" s="7"/>
      <c r="G156" s="7"/>
      <c r="H156" s="7"/>
      <c r="J156" s="7"/>
      <c r="K156" s="7"/>
    </row>
    <row r="157" spans="1:77" x14ac:dyDescent="0.25">
      <c r="F157" s="7"/>
      <c r="G157" s="7"/>
    </row>
    <row r="158" spans="1:77" x14ac:dyDescent="0.25">
      <c r="F158" s="7"/>
      <c r="G158" s="7"/>
    </row>
    <row r="159" spans="1:77" ht="15.6" hidden="1" x14ac:dyDescent="0.3">
      <c r="A159" s="50" t="s">
        <v>95</v>
      </c>
      <c r="B159" s="51"/>
      <c r="C159" s="51"/>
      <c r="D159" s="51"/>
      <c r="E159" s="51"/>
      <c r="F159" s="51"/>
      <c r="G159" s="51"/>
      <c r="H159" s="52"/>
      <c r="I159" s="51"/>
      <c r="J159" s="52"/>
      <c r="K159" s="52"/>
    </row>
    <row r="160" spans="1:77" ht="98.4" hidden="1" customHeight="1" x14ac:dyDescent="0.25">
      <c r="A160" s="15" t="s">
        <v>3</v>
      </c>
      <c r="B160" s="15" t="s">
        <v>26</v>
      </c>
      <c r="C160" s="15"/>
      <c r="D160" s="15" t="s">
        <v>16</v>
      </c>
      <c r="E160" s="15" t="s">
        <v>4</v>
      </c>
      <c r="F160" s="15" t="s">
        <v>5</v>
      </c>
      <c r="G160" s="15" t="s">
        <v>0</v>
      </c>
      <c r="H160" s="18" t="s">
        <v>31</v>
      </c>
      <c r="I160" s="15" t="s">
        <v>6</v>
      </c>
      <c r="J160" s="18" t="s">
        <v>7</v>
      </c>
      <c r="K160" s="18" t="s">
        <v>1</v>
      </c>
      <c r="R160" s="128" t="s">
        <v>156</v>
      </c>
      <c r="S160" s="129"/>
      <c r="T160" s="129"/>
      <c r="U160" s="129"/>
      <c r="AB160" s="130" t="s">
        <v>157</v>
      </c>
    </row>
    <row r="161" spans="1:45" ht="21.6" hidden="1" customHeight="1" x14ac:dyDescent="0.25">
      <c r="A161" s="162" t="s">
        <v>8</v>
      </c>
      <c r="B161" s="162"/>
      <c r="C161" s="162"/>
      <c r="D161" s="162"/>
      <c r="E161" s="114" t="s">
        <v>9</v>
      </c>
      <c r="F161" s="39" t="s">
        <v>9</v>
      </c>
      <c r="G161" s="39" t="s">
        <v>9</v>
      </c>
      <c r="H161" s="39" t="s">
        <v>9</v>
      </c>
      <c r="I161" s="114" t="s">
        <v>9</v>
      </c>
      <c r="J161" s="39" t="s">
        <v>9</v>
      </c>
      <c r="K161" s="39" t="s">
        <v>9</v>
      </c>
      <c r="R161" s="129"/>
      <c r="S161" s="78" t="s">
        <v>119</v>
      </c>
      <c r="T161" s="78" t="s">
        <v>106</v>
      </c>
      <c r="U161" s="130" t="s">
        <v>120</v>
      </c>
      <c r="W161" s="130" t="s">
        <v>155</v>
      </c>
      <c r="X161" s="78" t="s">
        <v>119</v>
      </c>
      <c r="Y161" s="78" t="s">
        <v>106</v>
      </c>
      <c r="Z161" s="130" t="s">
        <v>120</v>
      </c>
      <c r="AB161" s="130" t="s">
        <v>157</v>
      </c>
      <c r="AC161" s="78" t="s">
        <v>119</v>
      </c>
      <c r="AD161" s="78" t="s">
        <v>106</v>
      </c>
      <c r="AE161" s="130" t="s">
        <v>120</v>
      </c>
      <c r="AH161" s="104" t="s">
        <v>122</v>
      </c>
      <c r="AI161" s="96" t="s">
        <v>119</v>
      </c>
      <c r="AJ161" s="96" t="s">
        <v>106</v>
      </c>
      <c r="AK161" s="97" t="s">
        <v>120</v>
      </c>
      <c r="AL161" s="140"/>
      <c r="AM161" s="140"/>
      <c r="AN161" s="140"/>
      <c r="AO161" s="97"/>
      <c r="AP161" s="97"/>
      <c r="AQ161" s="97"/>
      <c r="AR161" s="97"/>
      <c r="AS161" s="97"/>
    </row>
    <row r="162" spans="1:45" ht="92.4" hidden="1" customHeight="1" x14ac:dyDescent="0.25">
      <c r="A162" s="120" t="s">
        <v>101</v>
      </c>
      <c r="B162" s="120" t="s">
        <v>27</v>
      </c>
      <c r="C162" s="120"/>
      <c r="D162" s="115" t="s">
        <v>57</v>
      </c>
      <c r="E162" s="132">
        <f>279.4+6.25</f>
        <v>285.64999999999998</v>
      </c>
      <c r="F162" s="46" t="s">
        <v>102</v>
      </c>
      <c r="G162" s="46" t="s">
        <v>102</v>
      </c>
      <c r="H162" s="46" t="s">
        <v>102</v>
      </c>
      <c r="I162" s="132">
        <f>187.83+51.32+6.25</f>
        <v>245.4</v>
      </c>
      <c r="J162" s="46">
        <f>0.32+13.37</f>
        <v>13.69</v>
      </c>
      <c r="K162" s="46">
        <f>0.03+6.05</f>
        <v>6.08</v>
      </c>
      <c r="R162" s="73">
        <v>112.12</v>
      </c>
      <c r="S162" s="73">
        <v>50.14</v>
      </c>
      <c r="T162" s="73">
        <v>18.14</v>
      </c>
      <c r="U162" s="73">
        <v>32</v>
      </c>
      <c r="W162" s="73">
        <f>R162+45.77</f>
        <v>157.89000000000001</v>
      </c>
      <c r="X162" s="73">
        <f>S162+26.3</f>
        <v>76.44</v>
      </c>
      <c r="Y162" s="73">
        <v>18.14</v>
      </c>
      <c r="Z162" s="73">
        <v>32</v>
      </c>
      <c r="AA162" s="73"/>
      <c r="AB162" s="73">
        <v>147.96360200000001</v>
      </c>
      <c r="AC162" s="73"/>
      <c r="AD162" s="73"/>
      <c r="AE162" s="73"/>
      <c r="AH162" s="105">
        <v>124.03</v>
      </c>
      <c r="AI162" s="97" t="s">
        <v>125</v>
      </c>
      <c r="AJ162" s="96"/>
      <c r="AK162" s="96"/>
      <c r="AL162" s="141"/>
      <c r="AM162" s="141"/>
      <c r="AN162" s="141"/>
      <c r="AO162" s="96"/>
      <c r="AP162" s="96"/>
      <c r="AQ162" s="96"/>
      <c r="AR162" s="96"/>
      <c r="AS162" s="96"/>
    </row>
    <row r="163" spans="1:45" ht="87.6" hidden="1" customHeight="1" x14ac:dyDescent="0.25">
      <c r="A163" s="13" t="s">
        <v>96</v>
      </c>
      <c r="B163" s="13" t="s">
        <v>27</v>
      </c>
      <c r="C163" s="13"/>
      <c r="D163" s="15" t="s">
        <v>57</v>
      </c>
      <c r="E163" s="132">
        <f>279.41+6.25</f>
        <v>285.66000000000003</v>
      </c>
      <c r="F163" s="46" t="s">
        <v>102</v>
      </c>
      <c r="G163" s="46" t="s">
        <v>102</v>
      </c>
      <c r="H163" s="46" t="s">
        <v>102</v>
      </c>
      <c r="I163" s="14">
        <f>188.4+51.32+6.25</f>
        <v>245.97</v>
      </c>
      <c r="J163" s="26">
        <f>0.39+13.37</f>
        <v>13.76</v>
      </c>
      <c r="K163" s="26">
        <f>0.04+6.05</f>
        <v>6.09</v>
      </c>
      <c r="R163" s="73">
        <v>111.48</v>
      </c>
      <c r="S163" s="73">
        <v>51.76</v>
      </c>
      <c r="T163" s="73">
        <v>19.760000000000002</v>
      </c>
      <c r="U163" s="73">
        <v>32</v>
      </c>
      <c r="W163" s="73">
        <f>R163+43.92</f>
        <v>155.4</v>
      </c>
      <c r="X163" s="73">
        <f>S163+24.68</f>
        <v>76.44</v>
      </c>
      <c r="Y163" s="73">
        <v>19.760000000000002</v>
      </c>
      <c r="Z163" s="73">
        <v>32</v>
      </c>
      <c r="AA163" s="73"/>
      <c r="AB163" s="73">
        <v>145.473602</v>
      </c>
      <c r="AC163" s="73"/>
      <c r="AD163" s="73"/>
      <c r="AE163" s="73"/>
      <c r="AH163" s="105">
        <v>123.11</v>
      </c>
      <c r="AI163" s="97" t="s">
        <v>125</v>
      </c>
      <c r="AJ163" s="96"/>
      <c r="AK163" s="96"/>
      <c r="AL163" s="141"/>
      <c r="AM163" s="141"/>
      <c r="AN163" s="141"/>
      <c r="AO163" s="96"/>
      <c r="AP163" s="96"/>
      <c r="AQ163" s="96"/>
      <c r="AR163" s="96"/>
      <c r="AS163" s="96"/>
    </row>
    <row r="164" spans="1:45" ht="82.95" hidden="1" customHeight="1" x14ac:dyDescent="0.25">
      <c r="A164" s="13" t="s">
        <v>97</v>
      </c>
      <c r="B164" s="13" t="s">
        <v>27</v>
      </c>
      <c r="C164" s="13"/>
      <c r="D164" s="15" t="s">
        <v>57</v>
      </c>
      <c r="E164" s="132">
        <f>279.39+6.25+0.03215</f>
        <v>285.67214999999999</v>
      </c>
      <c r="F164" s="46" t="s">
        <v>102</v>
      </c>
      <c r="G164" s="46" t="s">
        <v>102</v>
      </c>
      <c r="H164" s="46" t="s">
        <v>102</v>
      </c>
      <c r="I164" s="14">
        <f>172.36+51.32+6.25+0.03215</f>
        <v>229.96215000000001</v>
      </c>
      <c r="J164" s="26">
        <f>0.19+13.37</f>
        <v>13.559999999999999</v>
      </c>
      <c r="K164" s="26">
        <f>0.02+6.05</f>
        <v>6.0699999999999994</v>
      </c>
      <c r="R164" s="73">
        <v>111</v>
      </c>
      <c r="S164" s="73">
        <v>55.33</v>
      </c>
      <c r="T164" s="73">
        <v>23.33</v>
      </c>
      <c r="U164" s="73">
        <v>32</v>
      </c>
      <c r="W164" s="73">
        <f>R164+43.88</f>
        <v>154.88</v>
      </c>
      <c r="X164" s="73">
        <f>S164+21.11</f>
        <v>76.44</v>
      </c>
      <c r="Y164" s="73">
        <v>23.33</v>
      </c>
      <c r="Z164" s="73">
        <v>32</v>
      </c>
      <c r="AA164" s="73"/>
      <c r="AB164" s="73">
        <v>144.95351700000001</v>
      </c>
      <c r="AC164" s="73"/>
      <c r="AD164" s="73"/>
      <c r="AE164" s="73"/>
      <c r="AH164" s="106">
        <v>122.68</v>
      </c>
      <c r="AI164" s="163" t="s">
        <v>140</v>
      </c>
      <c r="AJ164" s="96"/>
      <c r="AK164" s="96"/>
      <c r="AL164" s="141"/>
      <c r="AM164" s="141"/>
      <c r="AN164" s="141"/>
      <c r="AO164" s="96"/>
      <c r="AP164" s="96"/>
      <c r="AQ164" s="96"/>
      <c r="AR164" s="96"/>
      <c r="AS164" s="96"/>
    </row>
    <row r="165" spans="1:45" ht="85.95" hidden="1" customHeight="1" x14ac:dyDescent="0.25">
      <c r="A165" s="13" t="s">
        <v>98</v>
      </c>
      <c r="B165" s="13" t="s">
        <v>27</v>
      </c>
      <c r="C165" s="13"/>
      <c r="D165" s="15" t="s">
        <v>57</v>
      </c>
      <c r="E165" s="132">
        <f>279.42+6.25</f>
        <v>285.67</v>
      </c>
      <c r="F165" s="46" t="s">
        <v>102</v>
      </c>
      <c r="G165" s="46" t="s">
        <v>102</v>
      </c>
      <c r="H165" s="46" t="s">
        <v>102</v>
      </c>
      <c r="I165" s="14">
        <f>163.96+51.32+17+6.25</f>
        <v>238.53</v>
      </c>
      <c r="J165" s="26">
        <f>1.69+13.37</f>
        <v>15.059999999999999</v>
      </c>
      <c r="K165" s="133">
        <f>0.14+6.05</f>
        <v>6.1899999999999995</v>
      </c>
      <c r="R165" s="73">
        <v>112.18</v>
      </c>
      <c r="S165" s="73">
        <v>51.76</v>
      </c>
      <c r="T165" s="73">
        <v>19.760000000000002</v>
      </c>
      <c r="U165" s="73">
        <v>32</v>
      </c>
      <c r="W165" s="73">
        <f>R165+45.18</f>
        <v>157.36000000000001</v>
      </c>
      <c r="X165" s="73">
        <f>S165+24.68</f>
        <v>76.44</v>
      </c>
      <c r="Y165" s="73">
        <v>19.760000000000002</v>
      </c>
      <c r="Z165" s="73">
        <v>32</v>
      </c>
      <c r="AA165" s="73"/>
      <c r="AB165" s="73">
        <v>147.43360229999999</v>
      </c>
      <c r="AC165" s="73"/>
      <c r="AD165" s="73"/>
      <c r="AE165" s="73"/>
      <c r="AH165" s="106">
        <v>124.35</v>
      </c>
      <c r="AI165" s="163"/>
      <c r="AJ165" s="96"/>
      <c r="AK165" s="96"/>
      <c r="AL165" s="141"/>
      <c r="AM165" s="141"/>
      <c r="AN165" s="141"/>
      <c r="AO165" s="96"/>
      <c r="AP165" s="96"/>
      <c r="AQ165" s="96"/>
      <c r="AR165" s="96"/>
      <c r="AS165" s="96"/>
    </row>
    <row r="166" spans="1:45" ht="95.4" hidden="1" customHeight="1" x14ac:dyDescent="0.25">
      <c r="A166" s="13" t="s">
        <v>99</v>
      </c>
      <c r="B166" s="13" t="s">
        <v>27</v>
      </c>
      <c r="C166" s="13"/>
      <c r="D166" s="15" t="s">
        <v>57</v>
      </c>
      <c r="E166" s="132">
        <f>279.43+6.25</f>
        <v>285.68</v>
      </c>
      <c r="F166" s="46" t="s">
        <v>102</v>
      </c>
      <c r="G166" s="46" t="s">
        <v>102</v>
      </c>
      <c r="H166" s="46" t="s">
        <v>102</v>
      </c>
      <c r="I166" s="14">
        <f>191.76+51.32+6.25</f>
        <v>249.32999999999998</v>
      </c>
      <c r="J166" s="26">
        <f>2.01+13.37</f>
        <v>15.379999999999999</v>
      </c>
      <c r="K166" s="26">
        <f>0.22+6.05</f>
        <v>6.27</v>
      </c>
      <c r="R166" s="73">
        <v>112.16</v>
      </c>
      <c r="S166" s="73">
        <v>51.76</v>
      </c>
      <c r="T166" s="73">
        <v>19.760000000000002</v>
      </c>
      <c r="U166" s="73">
        <v>32</v>
      </c>
      <c r="W166" s="73">
        <f>R166+45.18</f>
        <v>157.34</v>
      </c>
      <c r="X166" s="73">
        <f>S166+24.68</f>
        <v>76.44</v>
      </c>
      <c r="Y166" s="73">
        <v>19.760000000000002</v>
      </c>
      <c r="Z166" s="73">
        <v>32</v>
      </c>
      <c r="AA166" s="73"/>
      <c r="AB166" s="73">
        <v>147.41360230000001</v>
      </c>
      <c r="AC166" s="73"/>
      <c r="AD166" s="73"/>
      <c r="AE166" s="73"/>
      <c r="AH166" s="106">
        <v>124.35</v>
      </c>
      <c r="AI166" s="163"/>
      <c r="AJ166" s="96"/>
      <c r="AK166" s="96"/>
      <c r="AL166" s="141"/>
      <c r="AM166" s="141"/>
      <c r="AN166" s="141"/>
      <c r="AO166" s="96"/>
      <c r="AP166" s="96"/>
      <c r="AQ166" s="96"/>
      <c r="AR166" s="96"/>
      <c r="AS166" s="96"/>
    </row>
    <row r="167" spans="1:45" ht="102" hidden="1" customHeight="1" x14ac:dyDescent="0.25">
      <c r="A167" s="13" t="s">
        <v>100</v>
      </c>
      <c r="B167" s="13" t="s">
        <v>27</v>
      </c>
      <c r="C167" s="13"/>
      <c r="D167" s="15" t="s">
        <v>57</v>
      </c>
      <c r="E167" s="132">
        <f>279.4+6.25</f>
        <v>285.64999999999998</v>
      </c>
      <c r="F167" s="46" t="s">
        <v>102</v>
      </c>
      <c r="G167" s="46" t="s">
        <v>102</v>
      </c>
      <c r="H167" s="46" t="s">
        <v>102</v>
      </c>
      <c r="I167" s="14">
        <f>171.76+51.32+6.25</f>
        <v>229.32999999999998</v>
      </c>
      <c r="J167" s="26">
        <f>1.69+13.37</f>
        <v>15.059999999999999</v>
      </c>
      <c r="K167" s="26">
        <f>0.19+6.05</f>
        <v>6.24</v>
      </c>
      <c r="R167" s="73">
        <v>112.1</v>
      </c>
      <c r="S167" s="73">
        <v>50.14</v>
      </c>
      <c r="T167" s="73">
        <v>18.14</v>
      </c>
      <c r="U167" s="73">
        <v>32</v>
      </c>
      <c r="W167" s="73">
        <f>R167+45.79</f>
        <v>157.88999999999999</v>
      </c>
      <c r="X167" s="73">
        <f>S167+26.3</f>
        <v>76.44</v>
      </c>
      <c r="Y167" s="73">
        <v>18.14</v>
      </c>
      <c r="Z167" s="73">
        <v>32</v>
      </c>
      <c r="AA167" s="73"/>
      <c r="AB167" s="73">
        <v>147.96350240000001</v>
      </c>
      <c r="AC167" s="73"/>
      <c r="AD167" s="73"/>
      <c r="AE167" s="73"/>
      <c r="AH167" s="105">
        <v>123.8</v>
      </c>
      <c r="AI167" s="97" t="s">
        <v>125</v>
      </c>
      <c r="AJ167" s="96"/>
      <c r="AK167" s="96"/>
      <c r="AL167" s="141"/>
      <c r="AM167" s="141"/>
      <c r="AN167" s="141"/>
      <c r="AO167" s="96"/>
      <c r="AP167" s="96"/>
      <c r="AQ167" s="96"/>
      <c r="AR167" s="96"/>
      <c r="AS167" s="96"/>
    </row>
    <row r="168" spans="1:45" ht="13.8" x14ac:dyDescent="0.25">
      <c r="F168" s="23"/>
      <c r="G168" s="24"/>
      <c r="H168" s="24"/>
      <c r="R168" s="73"/>
      <c r="S168" s="73"/>
      <c r="T168" s="73"/>
      <c r="U168" s="73"/>
      <c r="W168" s="73"/>
      <c r="X168" s="73"/>
      <c r="Y168" s="73"/>
      <c r="Z168" s="73"/>
      <c r="AA168" s="73"/>
      <c r="AH168" s="96"/>
      <c r="AI168" s="96"/>
      <c r="AJ168" s="96"/>
      <c r="AK168" s="96"/>
      <c r="AL168" s="141"/>
      <c r="AM168" s="141"/>
      <c r="AN168" s="141"/>
      <c r="AO168" s="96"/>
      <c r="AP168" s="96"/>
      <c r="AQ168" s="96"/>
      <c r="AR168" s="96"/>
      <c r="AS168" s="96"/>
    </row>
    <row r="169" spans="1:45" x14ac:dyDescent="0.25">
      <c r="F169" s="7"/>
      <c r="G169" s="7"/>
      <c r="R169" s="73"/>
      <c r="S169" s="73"/>
      <c r="T169" s="73"/>
      <c r="U169" s="73"/>
      <c r="W169" s="73"/>
      <c r="X169" s="73"/>
      <c r="Y169" s="73"/>
      <c r="Z169" s="73"/>
      <c r="AA169" s="73"/>
      <c r="AH169" s="96"/>
      <c r="AI169" s="96"/>
      <c r="AJ169" s="96"/>
      <c r="AK169" s="96"/>
      <c r="AL169" s="141"/>
      <c r="AM169" s="141"/>
      <c r="AN169" s="141"/>
      <c r="AO169" s="96"/>
      <c r="AP169" s="96"/>
      <c r="AQ169" s="96"/>
      <c r="AR169" s="96"/>
      <c r="AS169" s="96"/>
    </row>
    <row r="170" spans="1:45" x14ac:dyDescent="0.25">
      <c r="A170" s="7" t="s">
        <v>124</v>
      </c>
      <c r="F170" s="7"/>
      <c r="G170" s="7"/>
      <c r="W170" s="73"/>
      <c r="X170" s="73"/>
      <c r="Y170" s="73"/>
      <c r="Z170" s="73"/>
      <c r="AA170" s="73"/>
      <c r="AH170" s="96"/>
      <c r="AI170" s="96"/>
      <c r="AJ170" s="96"/>
      <c r="AK170" s="96"/>
      <c r="AL170" s="141"/>
      <c r="AM170" s="141"/>
      <c r="AN170" s="141"/>
      <c r="AO170" s="96"/>
      <c r="AP170" s="96"/>
      <c r="AQ170" s="96"/>
      <c r="AR170" s="96"/>
      <c r="AS170" s="96"/>
    </row>
    <row r="171" spans="1:45" x14ac:dyDescent="0.25">
      <c r="F171" s="7"/>
      <c r="G171" s="7"/>
      <c r="W171" s="73"/>
      <c r="X171" s="73"/>
      <c r="Y171" s="73"/>
      <c r="Z171" s="73"/>
      <c r="AA171" s="73"/>
      <c r="AH171" s="96"/>
      <c r="AI171" s="96"/>
      <c r="AJ171" s="96"/>
      <c r="AK171" s="96"/>
      <c r="AL171" s="141"/>
      <c r="AM171" s="141"/>
      <c r="AN171" s="141"/>
      <c r="AO171" s="96"/>
      <c r="AP171" s="96"/>
      <c r="AQ171" s="96"/>
      <c r="AR171" s="96"/>
      <c r="AS171" s="96"/>
    </row>
    <row r="172" spans="1:45" ht="13.8" x14ac:dyDescent="0.25">
      <c r="D172" s="25"/>
      <c r="F172" s="7"/>
      <c r="G172" s="7"/>
      <c r="W172" s="73"/>
      <c r="X172" s="73"/>
      <c r="Y172" s="73"/>
      <c r="Z172" s="73"/>
      <c r="AA172" s="73"/>
      <c r="AH172" s="96"/>
      <c r="AI172" s="96"/>
      <c r="AJ172" s="96"/>
      <c r="AK172" s="96"/>
      <c r="AL172" s="141"/>
      <c r="AM172" s="141"/>
      <c r="AN172" s="141"/>
      <c r="AO172" s="96"/>
      <c r="AP172" s="96"/>
      <c r="AQ172" s="96"/>
      <c r="AR172" s="96"/>
      <c r="AS172" s="96"/>
    </row>
    <row r="173" spans="1:45" x14ac:dyDescent="0.25">
      <c r="F173" s="7"/>
      <c r="G173" s="7"/>
      <c r="W173" s="73"/>
      <c r="X173" s="73"/>
      <c r="Y173" s="73"/>
      <c r="Z173" s="73"/>
      <c r="AA173" s="73"/>
      <c r="AH173" s="96"/>
      <c r="AI173" s="96"/>
      <c r="AJ173" s="96"/>
      <c r="AK173" s="96"/>
      <c r="AL173" s="141"/>
      <c r="AM173" s="141"/>
      <c r="AN173" s="141"/>
      <c r="AO173" s="96"/>
      <c r="AP173" s="96"/>
      <c r="AQ173" s="96"/>
      <c r="AR173" s="96"/>
      <c r="AS173" s="96"/>
    </row>
    <row r="174" spans="1:45" x14ac:dyDescent="0.25">
      <c r="F174" s="7"/>
      <c r="G174" s="7"/>
      <c r="W174" s="73"/>
      <c r="X174" s="73"/>
      <c r="Y174" s="73"/>
      <c r="Z174" s="73"/>
      <c r="AA174" s="73"/>
    </row>
    <row r="175" spans="1:45" x14ac:dyDescent="0.25">
      <c r="F175" s="7"/>
      <c r="G175" s="7"/>
      <c r="W175" s="73"/>
      <c r="X175" s="73"/>
      <c r="Y175" s="73"/>
      <c r="Z175" s="73"/>
      <c r="AA175" s="73"/>
    </row>
    <row r="176" spans="1:45" x14ac:dyDescent="0.25">
      <c r="F176" s="7"/>
      <c r="G176" s="7"/>
      <c r="W176" s="73"/>
      <c r="X176" s="73"/>
      <c r="Y176" s="73"/>
      <c r="Z176" s="73"/>
      <c r="AA176" s="73"/>
    </row>
    <row r="177" spans="6:27" x14ac:dyDescent="0.25">
      <c r="F177" s="7"/>
      <c r="G177" s="7"/>
      <c r="W177" s="73"/>
      <c r="X177" s="73"/>
      <c r="Y177" s="73"/>
      <c r="Z177" s="73"/>
      <c r="AA177" s="73"/>
    </row>
    <row r="178" spans="6:27" x14ac:dyDescent="0.25">
      <c r="F178" s="7"/>
      <c r="G178" s="7"/>
      <c r="W178" s="73"/>
      <c r="X178" s="73"/>
      <c r="Y178" s="73"/>
      <c r="Z178" s="73"/>
      <c r="AA178" s="73"/>
    </row>
    <row r="179" spans="6:27" x14ac:dyDescent="0.25">
      <c r="F179" s="7"/>
      <c r="G179" s="7"/>
    </row>
    <row r="180" spans="6:27" x14ac:dyDescent="0.25">
      <c r="F180" s="7"/>
      <c r="G180" s="7"/>
    </row>
    <row r="181" spans="6:27" x14ac:dyDescent="0.25">
      <c r="F181" s="7"/>
      <c r="G181" s="7"/>
    </row>
    <row r="182" spans="6:27" x14ac:dyDescent="0.25">
      <c r="F182" s="7"/>
      <c r="G182" s="7"/>
    </row>
    <row r="183" spans="6:27" x14ac:dyDescent="0.25">
      <c r="F183" s="7"/>
      <c r="G183" s="7"/>
    </row>
    <row r="184" spans="6:27" x14ac:dyDescent="0.25">
      <c r="F184" s="7"/>
      <c r="G184" s="7"/>
    </row>
    <row r="185" spans="6:27" x14ac:dyDescent="0.25">
      <c r="F185" s="7"/>
      <c r="G185" s="7"/>
    </row>
    <row r="186" spans="6:27" x14ac:dyDescent="0.25">
      <c r="F186" s="7"/>
      <c r="G186" s="7"/>
    </row>
    <row r="187" spans="6:27" x14ac:dyDescent="0.25">
      <c r="F187" s="7"/>
      <c r="G187" s="7"/>
    </row>
    <row r="188" spans="6:27" x14ac:dyDescent="0.25">
      <c r="F188" s="7"/>
      <c r="G188" s="7"/>
    </row>
    <row r="189" spans="6:27" x14ac:dyDescent="0.25">
      <c r="F189" s="7"/>
      <c r="G189" s="7"/>
    </row>
    <row r="190" spans="6:27" x14ac:dyDescent="0.25">
      <c r="F190" s="7"/>
      <c r="G190" s="7"/>
    </row>
    <row r="191" spans="6:27" x14ac:dyDescent="0.25">
      <c r="F191" s="7"/>
      <c r="G191" s="7"/>
    </row>
    <row r="192" spans="6:27" x14ac:dyDescent="0.25">
      <c r="F192" s="7"/>
      <c r="G192" s="7"/>
    </row>
    <row r="193" spans="6:7" x14ac:dyDescent="0.25">
      <c r="F193" s="7"/>
      <c r="G193" s="7"/>
    </row>
    <row r="194" spans="6:7" x14ac:dyDescent="0.25">
      <c r="F194" s="7"/>
      <c r="G194" s="7"/>
    </row>
    <row r="195" spans="6:7" x14ac:dyDescent="0.25">
      <c r="F195" s="7"/>
      <c r="G195" s="7"/>
    </row>
    <row r="196" spans="6:7" x14ac:dyDescent="0.25">
      <c r="F196" s="7"/>
      <c r="G196" s="7"/>
    </row>
    <row r="197" spans="6:7" x14ac:dyDescent="0.25">
      <c r="F197" s="7"/>
      <c r="G197" s="7"/>
    </row>
    <row r="198" spans="6:7" x14ac:dyDescent="0.25">
      <c r="F198" s="7"/>
      <c r="G198" s="7"/>
    </row>
    <row r="199" spans="6:7" x14ac:dyDescent="0.25">
      <c r="F199" s="7"/>
      <c r="G199" s="7"/>
    </row>
    <row r="200" spans="6:7" x14ac:dyDescent="0.25">
      <c r="F200" s="7"/>
      <c r="G200" s="7"/>
    </row>
    <row r="201" spans="6:7" x14ac:dyDescent="0.25">
      <c r="F201" s="7"/>
      <c r="G201" s="7"/>
    </row>
    <row r="202" spans="6:7" x14ac:dyDescent="0.25">
      <c r="F202" s="7"/>
      <c r="G202" s="7"/>
    </row>
    <row r="203" spans="6:7" x14ac:dyDescent="0.25">
      <c r="F203" s="7"/>
      <c r="G203" s="7"/>
    </row>
    <row r="204" spans="6:7" x14ac:dyDescent="0.25">
      <c r="F204" s="7"/>
      <c r="G204" s="7"/>
    </row>
    <row r="205" spans="6:7" x14ac:dyDescent="0.25">
      <c r="F205" s="7"/>
      <c r="G205" s="7"/>
    </row>
    <row r="206" spans="6:7" x14ac:dyDescent="0.25">
      <c r="F206" s="7"/>
      <c r="G206" s="7"/>
    </row>
    <row r="207" spans="6:7" x14ac:dyDescent="0.25">
      <c r="F207" s="7"/>
      <c r="G207" s="7"/>
    </row>
    <row r="208" spans="6:7" x14ac:dyDescent="0.25">
      <c r="F208" s="7"/>
      <c r="G208" s="7"/>
    </row>
    <row r="209" spans="6:7" x14ac:dyDescent="0.25">
      <c r="F209" s="7"/>
      <c r="G209" s="7"/>
    </row>
    <row r="210" spans="6:7" x14ac:dyDescent="0.25">
      <c r="F210" s="7"/>
      <c r="G210" s="7"/>
    </row>
    <row r="211" spans="6:7" x14ac:dyDescent="0.25">
      <c r="F211" s="7"/>
      <c r="G211" s="7"/>
    </row>
    <row r="212" spans="6:7" x14ac:dyDescent="0.25">
      <c r="F212" s="7"/>
      <c r="G212" s="7"/>
    </row>
    <row r="213" spans="6:7" x14ac:dyDescent="0.25">
      <c r="F213" s="7"/>
      <c r="G213" s="7"/>
    </row>
    <row r="214" spans="6:7" x14ac:dyDescent="0.25">
      <c r="F214" s="7"/>
      <c r="G214" s="7"/>
    </row>
    <row r="215" spans="6:7" x14ac:dyDescent="0.25">
      <c r="F215" s="7"/>
      <c r="G215" s="7"/>
    </row>
    <row r="216" spans="6:7" x14ac:dyDescent="0.25">
      <c r="F216" s="7"/>
      <c r="G216" s="7"/>
    </row>
    <row r="217" spans="6:7" x14ac:dyDescent="0.25">
      <c r="F217" s="7"/>
      <c r="G217" s="7"/>
    </row>
    <row r="218" spans="6:7" x14ac:dyDescent="0.25">
      <c r="F218" s="7"/>
      <c r="G218" s="7"/>
    </row>
    <row r="219" spans="6:7" x14ac:dyDescent="0.25">
      <c r="F219" s="7"/>
      <c r="G219" s="7"/>
    </row>
    <row r="220" spans="6:7" x14ac:dyDescent="0.25">
      <c r="F220" s="7"/>
      <c r="G220" s="7"/>
    </row>
    <row r="221" spans="6:7" x14ac:dyDescent="0.25">
      <c r="F221" s="7"/>
      <c r="G221" s="7"/>
    </row>
    <row r="222" spans="6:7" x14ac:dyDescent="0.25">
      <c r="F222" s="7"/>
      <c r="G222" s="7"/>
    </row>
    <row r="223" spans="6:7" x14ac:dyDescent="0.25">
      <c r="F223" s="7"/>
      <c r="G223" s="7"/>
    </row>
    <row r="224" spans="6:7" x14ac:dyDescent="0.25">
      <c r="F224" s="7"/>
      <c r="G224" s="7"/>
    </row>
    <row r="225" spans="6:7" x14ac:dyDescent="0.25">
      <c r="F225" s="7"/>
      <c r="G225" s="7"/>
    </row>
    <row r="226" spans="6:7" x14ac:dyDescent="0.25">
      <c r="F226" s="7"/>
      <c r="G226" s="7"/>
    </row>
    <row r="227" spans="6:7" x14ac:dyDescent="0.25">
      <c r="F227" s="7"/>
      <c r="G227" s="7"/>
    </row>
    <row r="228" spans="6:7" x14ac:dyDescent="0.25">
      <c r="F228" s="7"/>
      <c r="G228" s="7"/>
    </row>
    <row r="229" spans="6:7" x14ac:dyDescent="0.25">
      <c r="F229" s="7"/>
      <c r="G229" s="7"/>
    </row>
    <row r="230" spans="6:7" x14ac:dyDescent="0.25">
      <c r="F230" s="7"/>
      <c r="G230" s="7"/>
    </row>
    <row r="231" spans="6:7" x14ac:dyDescent="0.25">
      <c r="F231" s="7"/>
      <c r="G231" s="7"/>
    </row>
    <row r="232" spans="6:7" x14ac:dyDescent="0.25">
      <c r="F232" s="7"/>
      <c r="G232" s="7"/>
    </row>
    <row r="233" spans="6:7" x14ac:dyDescent="0.25">
      <c r="F233" s="7"/>
      <c r="G233" s="7"/>
    </row>
    <row r="234" spans="6:7" x14ac:dyDescent="0.25">
      <c r="F234" s="7"/>
      <c r="G234" s="7"/>
    </row>
    <row r="235" spans="6:7" x14ac:dyDescent="0.25">
      <c r="F235" s="7"/>
      <c r="G235" s="7"/>
    </row>
    <row r="236" spans="6:7" x14ac:dyDescent="0.25">
      <c r="F236" s="7"/>
      <c r="G236" s="7"/>
    </row>
    <row r="237" spans="6:7" x14ac:dyDescent="0.25">
      <c r="F237" s="7"/>
      <c r="G237" s="7"/>
    </row>
    <row r="238" spans="6:7" x14ac:dyDescent="0.25">
      <c r="F238" s="7"/>
      <c r="G238" s="7"/>
    </row>
    <row r="239" spans="6:7" x14ac:dyDescent="0.25">
      <c r="F239" s="7"/>
      <c r="G239" s="7"/>
    </row>
    <row r="240" spans="6:7" x14ac:dyDescent="0.25">
      <c r="F240" s="7"/>
      <c r="G240" s="7"/>
    </row>
    <row r="241" spans="6:7" x14ac:dyDescent="0.25">
      <c r="F241" s="7"/>
      <c r="G241" s="7"/>
    </row>
    <row r="242" spans="6:7" x14ac:dyDescent="0.25">
      <c r="F242" s="7"/>
      <c r="G242" s="7"/>
    </row>
    <row r="243" spans="6:7" x14ac:dyDescent="0.25">
      <c r="F243" s="7"/>
      <c r="G243" s="7"/>
    </row>
    <row r="244" spans="6:7" x14ac:dyDescent="0.25">
      <c r="F244" s="7"/>
      <c r="G244" s="7"/>
    </row>
    <row r="245" spans="6:7" x14ac:dyDescent="0.25">
      <c r="F245" s="7"/>
      <c r="G245" s="7"/>
    </row>
    <row r="246" spans="6:7" x14ac:dyDescent="0.25">
      <c r="F246" s="7"/>
      <c r="G246" s="7"/>
    </row>
    <row r="247" spans="6:7" x14ac:dyDescent="0.25">
      <c r="F247" s="7"/>
      <c r="G247" s="7"/>
    </row>
    <row r="248" spans="6:7" x14ac:dyDescent="0.25">
      <c r="F248" s="7"/>
      <c r="G248" s="7"/>
    </row>
    <row r="249" spans="6:7" x14ac:dyDescent="0.25">
      <c r="F249" s="7"/>
      <c r="G249" s="7"/>
    </row>
    <row r="250" spans="6:7" x14ac:dyDescent="0.25">
      <c r="F250" s="7"/>
      <c r="G250" s="7"/>
    </row>
    <row r="251" spans="6:7" x14ac:dyDescent="0.25">
      <c r="F251" s="7"/>
      <c r="G251" s="7"/>
    </row>
    <row r="252" spans="6:7" x14ac:dyDescent="0.25">
      <c r="F252" s="7"/>
      <c r="G252" s="7"/>
    </row>
    <row r="253" spans="6:7" x14ac:dyDescent="0.25">
      <c r="F253" s="7"/>
      <c r="G253" s="7"/>
    </row>
    <row r="254" spans="6:7" x14ac:dyDescent="0.25">
      <c r="F254" s="7"/>
      <c r="G254" s="7"/>
    </row>
    <row r="255" spans="6:7" x14ac:dyDescent="0.25">
      <c r="F255" s="7"/>
      <c r="G255" s="7"/>
    </row>
    <row r="256" spans="6:7" x14ac:dyDescent="0.25">
      <c r="F256" s="7"/>
      <c r="G256" s="7"/>
    </row>
    <row r="257" spans="6:7" x14ac:dyDescent="0.25">
      <c r="F257" s="7"/>
      <c r="G257" s="7"/>
    </row>
    <row r="258" spans="6:7" x14ac:dyDescent="0.25">
      <c r="F258" s="7"/>
      <c r="G258" s="7"/>
    </row>
    <row r="259" spans="6:7" x14ac:dyDescent="0.25">
      <c r="F259" s="7"/>
      <c r="G259" s="7"/>
    </row>
    <row r="260" spans="6:7" x14ac:dyDescent="0.25">
      <c r="F260" s="7"/>
      <c r="G260" s="7"/>
    </row>
    <row r="261" spans="6:7" x14ac:dyDescent="0.25">
      <c r="F261" s="7"/>
      <c r="G261" s="7"/>
    </row>
    <row r="262" spans="6:7" x14ac:dyDescent="0.25">
      <c r="F262" s="7"/>
      <c r="G262" s="7"/>
    </row>
    <row r="263" spans="6:7" x14ac:dyDescent="0.25">
      <c r="F263" s="7"/>
      <c r="G263" s="7"/>
    </row>
    <row r="264" spans="6:7" x14ac:dyDescent="0.25">
      <c r="F264" s="7"/>
      <c r="G264" s="7"/>
    </row>
    <row r="265" spans="6:7" x14ac:dyDescent="0.25">
      <c r="F265" s="7"/>
      <c r="G265" s="7"/>
    </row>
    <row r="266" spans="6:7" x14ac:dyDescent="0.25">
      <c r="F266" s="7"/>
      <c r="G266" s="7"/>
    </row>
    <row r="267" spans="6:7" x14ac:dyDescent="0.25">
      <c r="F267" s="7"/>
      <c r="G267" s="7"/>
    </row>
    <row r="268" spans="6:7" x14ac:dyDescent="0.25">
      <c r="F268" s="7"/>
      <c r="G268" s="7"/>
    </row>
    <row r="269" spans="6:7" x14ac:dyDescent="0.25">
      <c r="F269" s="7"/>
      <c r="G269" s="7"/>
    </row>
    <row r="270" spans="6:7" x14ac:dyDescent="0.25">
      <c r="F270" s="7"/>
      <c r="G270" s="7"/>
    </row>
    <row r="271" spans="6:7" x14ac:dyDescent="0.25">
      <c r="F271" s="7"/>
      <c r="G271" s="7"/>
    </row>
    <row r="272" spans="6:7" x14ac:dyDescent="0.25">
      <c r="F272" s="7"/>
      <c r="G272" s="7"/>
    </row>
  </sheetData>
  <mergeCells count="21">
    <mergeCell ref="A123:A140"/>
    <mergeCell ref="A3:K3"/>
    <mergeCell ref="A6:D6"/>
    <mergeCell ref="C7:C16"/>
    <mergeCell ref="C17:C23"/>
    <mergeCell ref="C24:C30"/>
    <mergeCell ref="C31:C34"/>
    <mergeCell ref="C35:C37"/>
    <mergeCell ref="C38:C40"/>
    <mergeCell ref="C43:C44"/>
    <mergeCell ref="C46:C47"/>
    <mergeCell ref="C49:C53"/>
    <mergeCell ref="A57:A92"/>
    <mergeCell ref="B57:B61"/>
    <mergeCell ref="A93:A102"/>
    <mergeCell ref="A7:A17"/>
    <mergeCell ref="A141:A143"/>
    <mergeCell ref="A144:A145"/>
    <mergeCell ref="A148:D148"/>
    <mergeCell ref="A161:D161"/>
    <mergeCell ref="AI164:AI166"/>
  </mergeCells>
  <pageMargins left="0.11811023622047245" right="0" top="0" bottom="0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Прил.№2 с 12.01.26г.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Мисько</cp:lastModifiedBy>
  <cp:lastPrinted>2026-03-24T08:28:04Z</cp:lastPrinted>
  <dcterms:modified xsi:type="dcterms:W3CDTF">2026-06-15T08:40:06Z</dcterms:modified>
</cp:coreProperties>
</file>